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4"/>
  </bookViews>
  <sheets>
    <sheet name="Component UR" sheetId="1" r:id="rId1"/>
    <sheet name="Train UA" sheetId="2" r:id="rId2"/>
    <sheet name="Special Events" sheetId="3" r:id="rId3"/>
    <sheet name="IEs" sheetId="4" r:id="rId4"/>
    <sheet name="MSPI vs ROP UA Comparison" sheetId="5" r:id="rId5"/>
  </sheets>
  <definedNames>
    <definedName name="_xlnm.Print_Area" localSheetId="0">'Component UR'!$A$4:$Y$189</definedName>
    <definedName name="_xlnm.Print_Area" localSheetId="4">'MSPI vs ROP UA Comparison'!$A$1:$AB$42</definedName>
    <definedName name="_xlnm.Print_Area" localSheetId="2">'Special Events'!$A$1:$AE$26</definedName>
    <definedName name="_xlnm.Print_Area" localSheetId="1">'Train UA'!$A$1:$AC$48</definedName>
    <definedName name="_xlnm.Print_Titles" localSheetId="0">'Component UR'!$4:$5</definedName>
    <definedName name="_xlnm.Print_Titles" localSheetId="3">'IEs'!$4:$5</definedName>
    <definedName name="_xlnm.Print_Titles" localSheetId="2">'Special Events'!$4:$5</definedName>
    <definedName name="_xlnm.Print_Titles" localSheetId="1">'Train UA'!$4:$5</definedName>
  </definedNames>
  <calcPr fullCalcOnLoad="1"/>
</workbook>
</file>

<file path=xl/sharedStrings.xml><?xml version="1.0" encoding="utf-8"?>
<sst xmlns="http://schemas.openxmlformats.org/spreadsheetml/2006/main" count="1908" uniqueCount="756">
  <si>
    <t>Acronyms - AFWS (auxiliary feedwater system), BWR (boiling water reactor), CCW (component cooling water), DDP (diesel-driven pump), EPS (emergency power system), ESW (emergency or essential service water), HPCI (high-pressure coolant injection), HPCS (high-pressure core spray), HPSI (high-pressure safety injection), IC (isolation condenser), MDP (motor-driven pump), MSPI (Mitigating Systems Performance Index), NSW (normal service water), PWR (pressurized water reactor), RCIC (reactor core isolation cooling), RHR (residual heat removal), RHRSW (residual heat removal service water), ROP (Reactor Oversight Process), SSU (Safety System Unavailability), SWS (service water system), TDP (turbine-driven pump), TM (test or maintenance)</t>
  </si>
  <si>
    <t>IE-SGTR
(PWR)</t>
  </si>
  <si>
    <t>Acronyms - ASP (accident sequence precursor), BWR (boiling water reactor), CCW (component cooling water), EB (empirical Bayes), EE (expert elicitation), ESW (emergency service water), IE (initiating event), IEDB (initiating events database), KS (Kass-Steffey), LOCA (loss-of-coolant accident), LOOP (loss of offsite power), NSW (normal service water), PL (plant level), PWR (pressurized water reactor), RCP (reactor coolant pump), SCNID (simplified constrained noninformative distribution), SPAR (standardized plant analysis risk)</t>
  </si>
  <si>
    <t>Industry-average Frequency Distribution (note a)</t>
  </si>
  <si>
    <t>Note d - The β factor is determined from the mean and α. The β factor is presented to three significant figures to preserve the mean of the distribution.</t>
  </si>
  <si>
    <r>
      <t xml:space="preserve">Note a - The format for the distributions is the following: distribution type (source for mean, source for </t>
    </r>
    <r>
      <rPr>
        <sz val="10"/>
        <rFont val="Arial"/>
        <family val="0"/>
      </rPr>
      <t>α</t>
    </r>
    <r>
      <rPr>
        <sz val="10"/>
        <rFont val="Times New Roman"/>
        <family val="1"/>
      </rPr>
      <t xml:space="preserve"> factor). If the source for the mean indicates IPE/2, these are cases in which the IPE value was divided by 2 to reflect more current performance.</t>
    </r>
  </si>
  <si>
    <t>SS</t>
  </si>
  <si>
    <t>SUC-FTFRI (RCIC)</t>
  </si>
  <si>
    <t>Total Loss of Condenser Heat Sink (PWRs)</t>
  </si>
  <si>
    <t>Total Loss of Instrument Air (BWRs)</t>
  </si>
  <si>
    <t>Total Loss of Instrument Air (PWRs)</t>
  </si>
  <si>
    <t>Total Loss of Main Feedwater</t>
  </si>
  <si>
    <t>Total Loss of Offsite Power</t>
  </si>
  <si>
    <t>LERS (1997 - 2004)</t>
  </si>
  <si>
    <t>Number of Events</t>
  </si>
  <si>
    <t>95th</t>
  </si>
  <si>
    <t>Summary of SPAR Component Unreliability Data and Results</t>
  </si>
  <si>
    <t>SPAR Initiating Event Data and Results</t>
  </si>
  <si>
    <t>α Factor</t>
  </si>
  <si>
    <t>Beta</t>
  </si>
  <si>
    <t>EB degenerate</t>
  </si>
  <si>
    <t>Replace with SPAR initiating event fault tree (plant-specific)</t>
  </si>
  <si>
    <t>Note b - The error factor is from an empirical Bayes analysis at the plant level, with Kass-Steffey adjustment. The error factor is the 95th percentile divided by the median.</t>
  </si>
  <si>
    <t>Note a - For the ROP UAs, the mean is the average of individual train UAs. Each train UA is the total number of planned and unplanned outage hours divided by total number of plant critical hours.</t>
  </si>
  <si>
    <t>Note b - For the ROP UAs, the percentiles were obtained from the ordered set of train UAs. The error factor is the 95th percentile divided by the median.</t>
  </si>
  <si>
    <t>Without fault exposure hours. Not enough trains to obtain percentiles.</t>
  </si>
  <si>
    <t>Note c - A sufficient data set has ≥ 10 failures, ≥ 8% components with failures, and ≥ 0.10 failures/component.</t>
  </si>
  <si>
    <t>SEQ FTOP</t>
  </si>
  <si>
    <t>Sequencer Fail to Operate</t>
  </si>
  <si>
    <t xml:space="preserve">EPIX </t>
  </si>
  <si>
    <t>1 to 50 gpm. 1997 - 2004 data.</t>
  </si>
  <si>
    <t>Level sensor/transmitter results used. Both the beta distribution and the gamma distribution must be used (added). For the RPS, the time-related failures are typically annunciated (or noticed) in the control room, so the detection time and repair time are short (assumed to be 12 hours in the studies).</t>
  </si>
  <si>
    <t>Distribution
(note a)</t>
  </si>
  <si>
    <t>Recommended Probability Distribution</t>
  </si>
  <si>
    <t>System Study (1991 - 2002)</t>
  </si>
  <si>
    <t>System Study (1988 - 2002)</t>
  </si>
  <si>
    <t>Total Loss of Condenser Heat Sink (BWRs)</t>
  </si>
  <si>
    <t>LERs (1991 - 2002)</t>
  </si>
  <si>
    <t>IE-VSLOCA</t>
  </si>
  <si>
    <t>Very Small Loss-of-Coolant Accident</t>
  </si>
  <si>
    <t>LERs (1992 - 2002)</t>
  </si>
  <si>
    <t>EB Mean</t>
  </si>
  <si>
    <t>Review of events to remove those not applicable based on SPAR modeling</t>
  </si>
  <si>
    <t>Sum of individual subcategories. Error factor from simulation.</t>
  </si>
  <si>
    <t>HPCI injection valve fails to reopen</t>
  </si>
  <si>
    <t>HOV SO</t>
  </si>
  <si>
    <t>Hydraulic-Operated Valve Spurious Operation</t>
  </si>
  <si>
    <t>SOV FC</t>
  </si>
  <si>
    <t>Solenoid-Operated Valve Fail to Control</t>
  </si>
  <si>
    <t>SOV SO</t>
  </si>
  <si>
    <t>Solenoid-Operated Valve Spurious Operation</t>
  </si>
  <si>
    <t>RPS Breaker (Mechanical) Fail to Open or Close</t>
  </si>
  <si>
    <t>RPS SSs</t>
  </si>
  <si>
    <t>RPS Breaker (Shunt Trip) Fail to Operate</t>
  </si>
  <si>
    <t>RPS Breaker (Undervoltage Trip) Fail to Operate</t>
  </si>
  <si>
    <t>BIS FTOP</t>
  </si>
  <si>
    <t>RLY FTOP</t>
  </si>
  <si>
    <t>Relay Fail to Operate</t>
  </si>
  <si>
    <t>Bistable Fail to Operate</t>
  </si>
  <si>
    <t>CRD FTOP</t>
  </si>
  <si>
    <t>Control Rod Drive Fail to Operate</t>
  </si>
  <si>
    <t>Sensor/Transmitter (Pressure) Fail to Operate</t>
  </si>
  <si>
    <t>STP FTOP</t>
  </si>
  <si>
    <t>Both the beta distribution and the gamma distribution must be used (added). For the RPS, the time-related failures are typically annunciated (or noticed) in the control room, so the detection time and repair time are short (assumed to be 12 hours in the studies).</t>
  </si>
  <si>
    <t>STT FTOP</t>
  </si>
  <si>
    <t>Sensor/Transmitter (Temperature) Fail to Operate</t>
  </si>
  <si>
    <t>STL FTOP</t>
  </si>
  <si>
    <t>Sensor/Transmitter (Level) Fail to Operate</t>
  </si>
  <si>
    <t>PLP FTOP</t>
  </si>
  <si>
    <t>Process Logic (Pressure) Fail to Operate</t>
  </si>
  <si>
    <t>Process Logic (Delta Temperature) Fail to Operate</t>
  </si>
  <si>
    <t>PLDT FTOP</t>
  </si>
  <si>
    <t>Process Logic (Level) Fail to Operate</t>
  </si>
  <si>
    <t>PLL FTOP</t>
  </si>
  <si>
    <t>POD SO</t>
  </si>
  <si>
    <t>Pneumatic-Operated Damper Spurious Operation</t>
  </si>
  <si>
    <t>MOD FTO/C</t>
  </si>
  <si>
    <t>Motor-Operated Damper Fail to Open or Close</t>
  </si>
  <si>
    <t>MOD SO</t>
  </si>
  <si>
    <t>Motor-Operated Damper Spurious Operation</t>
  </si>
  <si>
    <t>HOD FTO/C</t>
  </si>
  <si>
    <t>HOD SO</t>
  </si>
  <si>
    <t>Hydraulic-Operated Damper Fail to Open or Close</t>
  </si>
  <si>
    <t>Hydraulic-Operated Damper Spurious Operation</t>
  </si>
  <si>
    <t>Motor-Driven Compressor (Running) Fail to Run</t>
  </si>
  <si>
    <t>Motor-Driven Compressor (Running) Fail to Start</t>
  </si>
  <si>
    <t>Motor-Driven Compressor (Standby) Fail to Run During First Hour of Operation</t>
  </si>
  <si>
    <t>Motor-Driven Compressor (Standby) Fail to Run After First Hour of Operation</t>
  </si>
  <si>
    <t>Motor-Driven Compressor (Standby) Fail to Start</t>
  </si>
  <si>
    <t>STF FTOP</t>
  </si>
  <si>
    <t>Sensor/Transmitter (Flow) Fail to Operate</t>
  </si>
  <si>
    <t>PLF FTOP</t>
  </si>
  <si>
    <t>Process Logic (Flow) Fail to Operate</t>
  </si>
  <si>
    <t>TFM FTOP</t>
  </si>
  <si>
    <t>Transformer Fail to Operate</t>
  </si>
  <si>
    <t>INV FTOP</t>
  </si>
  <si>
    <t>Inverter Fail to Operate</t>
  </si>
  <si>
    <t>BAT FTOP</t>
  </si>
  <si>
    <t>Battery (dc) Fail to Operate</t>
  </si>
  <si>
    <t>BCH FTOP</t>
  </si>
  <si>
    <t>Battery Charger Fail to Operate</t>
  </si>
  <si>
    <t>Air Accumulator External Leak Small</t>
  </si>
  <si>
    <t>ACC ELS</t>
  </si>
  <si>
    <t>ACC ELL</t>
  </si>
  <si>
    <t>Air Accumulator External Leak Large</t>
  </si>
  <si>
    <t>AOV ELS</t>
  </si>
  <si>
    <t>Air-Operated Valve External Leak Small</t>
  </si>
  <si>
    <t>Air-Operated Valve External Leak Large</t>
  </si>
  <si>
    <t>AOV ELL</t>
  </si>
  <si>
    <t>AOV ILS</t>
  </si>
  <si>
    <t>Air-Operated Valve Internal Leak Small</t>
  </si>
  <si>
    <t>AOV ILL</t>
  </si>
  <si>
    <t>Air-Operated Valve Internal Leak Large</t>
  </si>
  <si>
    <t>CKV ELS</t>
  </si>
  <si>
    <t>Check Valve External Leak Small</t>
  </si>
  <si>
    <t>CKV ELL</t>
  </si>
  <si>
    <t>Check Valve External Leak Large</t>
  </si>
  <si>
    <t>CKV ILS</t>
  </si>
  <si>
    <t>Check Valve Internal Leak Small</t>
  </si>
  <si>
    <t>CKV ILL</t>
  </si>
  <si>
    <t>Check Valve Internal Leak Large</t>
  </si>
  <si>
    <t>DDP ELS</t>
  </si>
  <si>
    <t>Diesel-Driven Pump External Leak Small</t>
  </si>
  <si>
    <t>DDP ELL</t>
  </si>
  <si>
    <t>Diesel-Driven Pump External Leak Large</t>
  </si>
  <si>
    <t>HOV ELS</t>
  </si>
  <si>
    <t>Hydraulic-Operated Valve External Leak Small</t>
  </si>
  <si>
    <t>HOV ELL</t>
  </si>
  <si>
    <t>Hydraulic-Operated Valve External Leak Large</t>
  </si>
  <si>
    <t>HOV ILS</t>
  </si>
  <si>
    <t>Hydraulic-Operated Valve Internal Leak Small</t>
  </si>
  <si>
    <t>HOV ILL</t>
  </si>
  <si>
    <t>Hydraulic-Operated Valve Internal Leak Large</t>
  </si>
  <si>
    <t>MDP ELS</t>
  </si>
  <si>
    <t>Motor-Driven Pump External Leak Small</t>
  </si>
  <si>
    <t>MDP ELL</t>
  </si>
  <si>
    <t>Motor-Driven Pump External Leak Large</t>
  </si>
  <si>
    <t>MOV ELS</t>
  </si>
  <si>
    <t>Motor-Operated Valve External Leak Small</t>
  </si>
  <si>
    <t>MOV ELL</t>
  </si>
  <si>
    <t>Motor-Operated Valve External Leak Large</t>
  </si>
  <si>
    <t>MOV ILS</t>
  </si>
  <si>
    <t>Motor-Operated Valve Internal Leak Small</t>
  </si>
  <si>
    <t>MOV ILL</t>
  </si>
  <si>
    <t>Motor-Operated Valve Internal Leak Large</t>
  </si>
  <si>
    <t>PDP ELS</t>
  </si>
  <si>
    <t>Positive Displacement Pump External Leak Small</t>
  </si>
  <si>
    <t>PDP ELL</t>
  </si>
  <si>
    <t>Positive Displacement Pump External Leak Large</t>
  </si>
  <si>
    <t>SOV ELS</t>
  </si>
  <si>
    <t>Solenoid-Operated Valve External Leak Small</t>
  </si>
  <si>
    <t>SOV ELL</t>
  </si>
  <si>
    <t>Solenoid-Operated Valve External Leak Large</t>
  </si>
  <si>
    <t>SOV ILS</t>
  </si>
  <si>
    <t>Solenoid-Operated Valve Internal Leak Small</t>
  </si>
  <si>
    <t>SOV ILL</t>
  </si>
  <si>
    <t>Solenoid-Operated Valve Internal Leak Large</t>
  </si>
  <si>
    <t>TDP ELS</t>
  </si>
  <si>
    <t>Turbine-Driven Pump External Leak Small</t>
  </si>
  <si>
    <t>TDP ELL</t>
  </si>
  <si>
    <t xml:space="preserve"> Turbine-Driven Pump External Leak Large</t>
  </si>
  <si>
    <t>XVM ELS</t>
  </si>
  <si>
    <t>Manual Valve External Leak Small</t>
  </si>
  <si>
    <t>XVM ELL</t>
  </si>
  <si>
    <t>Manual Valve External Leak Large</t>
  </si>
  <si>
    <t>XVM ILS</t>
  </si>
  <si>
    <t>Manual Valve Internal Leak Small</t>
  </si>
  <si>
    <t>XVM ILL</t>
  </si>
  <si>
    <t>Manual Valve Internal Leak Large</t>
  </si>
  <si>
    <t>Vacuum Breaker Valve Fail to Close</t>
  </si>
  <si>
    <t>VBV FTC</t>
  </si>
  <si>
    <t>Note a - The Jeffreys mean is obtained from a Bayesian update of the Jeffreys noninformative prior. For demand-related events, the mean is (n + 0.5)/(D + 1), where n is the number of failures and D is the number of demands. For time-related failures, the mean is (n + 0.5)/T, where T is the number of hours.</t>
  </si>
  <si>
    <t>Note c - See the Methodology sheet for the logic for choosing the recommended mean.</t>
  </si>
  <si>
    <t>Description</t>
  </si>
  <si>
    <t>Mean</t>
  </si>
  <si>
    <t>Data Source</t>
  </si>
  <si>
    <t>AHU-TM</t>
  </si>
  <si>
    <t>CHL-TM</t>
  </si>
  <si>
    <t>CTG-TM</t>
  </si>
  <si>
    <t>FAN-TM</t>
  </si>
  <si>
    <t>PDP-TM</t>
  </si>
  <si>
    <t>CTF-TM</t>
  </si>
  <si>
    <t>IE-LOOP</t>
  </si>
  <si>
    <t>IE-LOMFW</t>
  </si>
  <si>
    <t>BAC-TM</t>
  </si>
  <si>
    <t>Recommended Improvement</t>
  </si>
  <si>
    <t>Units</t>
  </si>
  <si>
    <t>D</t>
  </si>
  <si>
    <t>?</t>
  </si>
  <si>
    <t>Failures</t>
  </si>
  <si>
    <t>Demands or Hours</t>
  </si>
  <si>
    <t>No data</t>
  </si>
  <si>
    <t>Existing SPAR Value</t>
  </si>
  <si>
    <t>Various</t>
  </si>
  <si>
    <t>Without fault exposure hours</t>
  </si>
  <si>
    <t>Subdivide plants into those with a single pump feeding a heat exchanger and those with two pumps feeding a heat exchanger</t>
  </si>
  <si>
    <t>IE-TRAN (PWR)</t>
  </si>
  <si>
    <t>IE-TRAN (BWR)</t>
  </si>
  <si>
    <t>IE-LOCHS (PWR)</t>
  </si>
  <si>
    <t>IE-LOCHS (BWR)</t>
  </si>
  <si>
    <t>IE-LODC</t>
  </si>
  <si>
    <t>IE-LOAC</t>
  </si>
  <si>
    <t>IE-SORV (BWR)</t>
  </si>
  <si>
    <t>IE-SORV (PWR)</t>
  </si>
  <si>
    <t>IE-LOIA (BWR)</t>
  </si>
  <si>
    <t>IE-LOIA (PWR)</t>
  </si>
  <si>
    <t>CrY</t>
  </si>
  <si>
    <t>Break down SSU data into MDP, TDP, and DDP trains</t>
  </si>
  <si>
    <t>Get from MSPI baseline data for all plants if MSPI is implemented</t>
  </si>
  <si>
    <t>Look for more up-to-date data</t>
  </si>
  <si>
    <t>Look for more up-to-date data. Might be able to get some HX UA data from ROP SSU UAs for BWR RHR trains (in cases where 2 pumps feed 1 HX).</t>
  </si>
  <si>
    <t>Comments</t>
  </si>
  <si>
    <t>Error Factor</t>
  </si>
  <si>
    <t>IFRS</t>
  </si>
  <si>
    <t>LNRS</t>
  </si>
  <si>
    <t>RCIC TDP restart failure per event</t>
  </si>
  <si>
    <t>FRFTRS</t>
  </si>
  <si>
    <t>RCIC failure to recover TDP restart failure</t>
  </si>
  <si>
    <t>LNRC</t>
  </si>
  <si>
    <t>FRFTRC</t>
  </si>
  <si>
    <t>RCIC failure to recover transfer failure</t>
  </si>
  <si>
    <t>PMI</t>
  </si>
  <si>
    <t>RCIC TDP probability of restart</t>
  </si>
  <si>
    <t>RCIC injection valve probability of multiple injections</t>
  </si>
  <si>
    <t>FRO</t>
  </si>
  <si>
    <t>FRFRO</t>
  </si>
  <si>
    <t>HPCI injection valve probability of multiple injections</t>
  </si>
  <si>
    <t>FTRT</t>
  </si>
  <si>
    <t>HPCI failure to transfer</t>
  </si>
  <si>
    <t>FRFTRT</t>
  </si>
  <si>
    <t>HPCI failure to recover transfer failure</t>
  </si>
  <si>
    <t>HPCS failure to transfer</t>
  </si>
  <si>
    <t>HPCS failure to recover transfer failure</t>
  </si>
  <si>
    <t>BCH-TM</t>
  </si>
  <si>
    <t>LERs (1997 - 2002)</t>
  </si>
  <si>
    <t>LERs (1998 - 2002)</t>
  </si>
  <si>
    <t>LERs (1996 - 2002)</t>
  </si>
  <si>
    <t>LERs (1993 - 2002)</t>
  </si>
  <si>
    <t>From LOOP NUREG</t>
  </si>
  <si>
    <t>LERs (1988 - 2002)</t>
  </si>
  <si>
    <t>LERs (1995 - 2002)</t>
  </si>
  <si>
    <t>IE-LOCCW</t>
  </si>
  <si>
    <t>Revise based on ongoing NRC studies</t>
  </si>
  <si>
    <t>IE-LLOCA (BWR)</t>
  </si>
  <si>
    <t>IE-LLOCA (PWR)</t>
  </si>
  <si>
    <t>95% of gamma distribution</t>
  </si>
  <si>
    <t>Baseline Period</t>
  </si>
  <si>
    <t>Events</t>
  </si>
  <si>
    <t>RCRYs</t>
  </si>
  <si>
    <t>Comparison with Initiating Event Report on Website</t>
  </si>
  <si>
    <t>FY1997 - FY2002</t>
  </si>
  <si>
    <t>FY rather than CY</t>
  </si>
  <si>
    <t>FY1998 - FY2002</t>
  </si>
  <si>
    <t>FY1996 - FY2002</t>
  </si>
  <si>
    <t>FY1991 - FY2002</t>
  </si>
  <si>
    <t>FY1993 - FY2002</t>
  </si>
  <si>
    <t>Jeffreys mean rather than MLE</t>
  </si>
  <si>
    <t>FY rather than CY and Jeffreys mean rather than MLE</t>
  </si>
  <si>
    <t>SPAR recommended comes from draft LOOP report. LOOP report includes 2003 and uses different baseline periods for each of the five LOOP categories.</t>
  </si>
  <si>
    <t>FY1988 - FY2002</t>
  </si>
  <si>
    <t>Trend plot indicates more events in recent years. SPAR recommended generated using only recent years.</t>
  </si>
  <si>
    <t>Mean Frequency (MLE)</t>
  </si>
  <si>
    <t>Different baseline periods and Jeffreys mean rather than MLE</t>
  </si>
  <si>
    <t>Main Reason(s) for Differences</t>
  </si>
  <si>
    <t>FY1994 - FY2002</t>
  </si>
  <si>
    <t>FY1990 - FY2002</t>
  </si>
  <si>
    <t>SPAR recommended does not include very small LOCAs. Jeffreys mean rather than MLE.</t>
  </si>
  <si>
    <t>IC-TM</t>
  </si>
  <si>
    <t>Complete the data period (2000 - 2002) to be consistent</t>
  </si>
  <si>
    <t>IE-PLOCCW</t>
  </si>
  <si>
    <t>Median</t>
  </si>
  <si>
    <t>Air Handling Unit Test or Maintenance</t>
  </si>
  <si>
    <t>Bus (ac) Test or Maintenance</t>
  </si>
  <si>
    <t>Chiller Test or Maintenance</t>
  </si>
  <si>
    <t>Battery Charger Test or Maintenance</t>
  </si>
  <si>
    <t>Cooling Tower Fan Test or Maintenance</t>
  </si>
  <si>
    <t>Combustion Turbine Generator Test or Maintenance</t>
  </si>
  <si>
    <t>Diesel-Driven Pump Test or Maintenance (AFWS)</t>
  </si>
  <si>
    <t>EOV-TM</t>
  </si>
  <si>
    <t>Explosive-Operated Valve Test or Maintenance</t>
  </si>
  <si>
    <t>Fan Test or Maintenance</t>
  </si>
  <si>
    <t>Motor-Driven Pump Test or Maintenance (AFWS)</t>
  </si>
  <si>
    <t>Motor-Driven Pump Test or Maintenance (CCW)</t>
  </si>
  <si>
    <t>Motor-Driven Pump Test or Maintenance (HPCS)</t>
  </si>
  <si>
    <t>Motor-Driven Pump Test or Maintenance (RHR BWR)</t>
  </si>
  <si>
    <t>Motor-Driven Pump Test or Maintenance (RHR PWR)</t>
  </si>
  <si>
    <t>Motor-Driven Pump Test or Maintenance (Other)</t>
  </si>
  <si>
    <t>Positive Displacement Pump Test or Maintenance</t>
  </si>
  <si>
    <t>Turbine-Driven Pump Test or Maintenance (AFWS)</t>
  </si>
  <si>
    <t>Turbine-Driven Pump Test or Maintenance (HPCI)</t>
  </si>
  <si>
    <t>Turbine-Driven Pump Test or Maintenance (RCIC)</t>
  </si>
  <si>
    <t>IPEs</t>
  </si>
  <si>
    <t>MSPI</t>
  </si>
  <si>
    <t>Mean
(note a)</t>
  </si>
  <si>
    <t>Error Factor
(note b)</t>
  </si>
  <si>
    <t>Table C-1, ACP-BAC-TM</t>
  </si>
  <si>
    <t>Table C-1, CFC-FAN-TM</t>
  </si>
  <si>
    <t>Table C-1, CDP-BCH-TM</t>
  </si>
  <si>
    <t>SSU</t>
  </si>
  <si>
    <t>Table C-1, OLW-FAN-TM</t>
  </si>
  <si>
    <t>Table C-1, GTG-TM</t>
  </si>
  <si>
    <t>Beta (SSU, SSU)</t>
  </si>
  <si>
    <t>Table C-1, SLC-EPV-TM</t>
  </si>
  <si>
    <t>Table C-1, EHV-FAN-TM</t>
  </si>
  <si>
    <t>Table C-1, CVC-PDP-TM</t>
  </si>
  <si>
    <t>Table C-1, IAS-MDC-TM</t>
  </si>
  <si>
    <t>Table C-1, EHV-FAN-TM-TRN</t>
  </si>
  <si>
    <t>SPAR Basic Event Unavailability Data and Results</t>
  </si>
  <si>
    <t>NUREG/CR-5500, Vol. 2, Table 4</t>
  </si>
  <si>
    <t>SPC-TM</t>
  </si>
  <si>
    <t>Signal Processing Channel Test or Maintenance</t>
  </si>
  <si>
    <t>HTG-TM</t>
  </si>
  <si>
    <t>Hydro Turbine Generator Test or Maintenance</t>
  </si>
  <si>
    <t>System Study Name</t>
  </si>
  <si>
    <t>TDP-PRST (RCIC)</t>
  </si>
  <si>
    <t>MOV-PMINJ (RCIC)</t>
  </si>
  <si>
    <t>MOV-FTRO (RCIC)</t>
  </si>
  <si>
    <t>MOV-FRFTRO (RCIC)</t>
  </si>
  <si>
    <t>TDP-FRST (RCIC)</t>
  </si>
  <si>
    <t>TDP-FRFRST (RCIC)</t>
  </si>
  <si>
    <t>SUC-FRFTFR (RCIC)</t>
  </si>
  <si>
    <t>MOV-PMINJ (HPCI)</t>
  </si>
  <si>
    <t>MOV-FTRO (HPCI)</t>
  </si>
  <si>
    <t>MOV-FRFTRO (HPCI)</t>
  </si>
  <si>
    <t>SUC-FTFR (HPCI)</t>
  </si>
  <si>
    <t>SUC-FRFTFR (HPCI)</t>
  </si>
  <si>
    <t>SUC-FTFR (HPCS)</t>
  </si>
  <si>
    <t>SUC-FRFTFR (HPCS)</t>
  </si>
  <si>
    <t>SPAR Special Event Data and Results</t>
  </si>
  <si>
    <t>Data</t>
  </si>
  <si>
    <t>MLE</t>
  </si>
  <si>
    <t>Jeffreys Mean</t>
  </si>
  <si>
    <t>Jeffreys Mean
(note a)</t>
  </si>
  <si>
    <t>Component Failure Mode</t>
  </si>
  <si>
    <t>Components</t>
  </si>
  <si>
    <t>Air Handling Unit (Running) Fail to Run</t>
  </si>
  <si>
    <t>EPIX</t>
  </si>
  <si>
    <t>Air Handling Unit (Running) Fail to Start</t>
  </si>
  <si>
    <t>Air Handling Unit (Standby) Fail to Run During First Hour of Operation</t>
  </si>
  <si>
    <t>Air Handling Unit (Standby) Fail to Run After First Hour of Operation</t>
  </si>
  <si>
    <t>Air Handling Unit (Standby) Fail to Start</t>
  </si>
  <si>
    <t>AOV FC</t>
  </si>
  <si>
    <t>Air-Operated Valve Fail to Control</t>
  </si>
  <si>
    <t>WSRC</t>
  </si>
  <si>
    <t>AOV FTO/C</t>
  </si>
  <si>
    <t>Air-Operated Valve Fail to Open or Close</t>
  </si>
  <si>
    <t>AOV SO</t>
  </si>
  <si>
    <t>Air-Operated Valve Spurious Operation</t>
  </si>
  <si>
    <t>Gamma (EB/PL/KS, EB/PL/KS)</t>
  </si>
  <si>
    <t>CBK FTO/C</t>
  </si>
  <si>
    <t>Circuit Breaker Fail to Open or Close</t>
  </si>
  <si>
    <t>CBK SO</t>
  </si>
  <si>
    <t>Circuit Breaker Spurious Operation</t>
  </si>
  <si>
    <t>Chiller (Running) Fail to Run</t>
  </si>
  <si>
    <t>Chiller (Running) Fail to Start</t>
  </si>
  <si>
    <t>Beta (EB/PL/KS, EB/PL/KS)</t>
  </si>
  <si>
    <t>Chiller (Standby) Fail to Run During First Hour of Operation</t>
  </si>
  <si>
    <t>Chiller (Standby) Fail to Run After First Hour of Operation</t>
  </si>
  <si>
    <t>Chiller (Standby) Fail to Start</t>
  </si>
  <si>
    <t>CKV FTC</t>
  </si>
  <si>
    <t>Check Valve Fail to Close</t>
  </si>
  <si>
    <t>CKV FTO</t>
  </si>
  <si>
    <t>Check Valve Fail to Open</t>
  </si>
  <si>
    <t>Cooling Tower Fan (Running) Fail to Run</t>
  </si>
  <si>
    <t>Cooling Tower Fan (Running) Fail to Start</t>
  </si>
  <si>
    <t>Combustion Turbine Generator (Standby) Fail to Run After First Hour of Operation</t>
  </si>
  <si>
    <t>Combustion Turbine Generator (Standby) Fail to Start</t>
  </si>
  <si>
    <t>Diesel-Driven Pump (Standby) Fail to Run During First Hour of Operation</t>
  </si>
  <si>
    <t>Diesel-Driven Pump (Standby) Fail to Run After First Hour of Operation</t>
  </si>
  <si>
    <t>Diesel-Driven Pump (Standby) Fail to Start</t>
  </si>
  <si>
    <t>Emergency Diesel Generator (Standby) Fail to Load and Run During First Hour of Operation</t>
  </si>
  <si>
    <t>Emergency Diesel Generator (Standby) Fail to Run After First Hour of Operation</t>
  </si>
  <si>
    <t>Emergency Diesel Generator (Standby) Fail to Start</t>
  </si>
  <si>
    <t>EOV FTO</t>
  </si>
  <si>
    <t>Explosive-Operated Valve Fail to Open</t>
  </si>
  <si>
    <t>Fan (Running) Fail to Run</t>
  </si>
  <si>
    <t>Fan (Running) Fail to Start</t>
  </si>
  <si>
    <t>Fan (Standby) Fail to Run During First Hour of Operation</t>
  </si>
  <si>
    <t>Fan (Standby) Fail to Run After First Hour of Operation</t>
  </si>
  <si>
    <t>Fan (Standby) Fail to Start</t>
  </si>
  <si>
    <t>HOV FC</t>
  </si>
  <si>
    <t>Hydraulic-Operated Valve Fail to Control</t>
  </si>
  <si>
    <t>HOV FTO/C</t>
  </si>
  <si>
    <t>Hydraulic-Operated Valve Fail to Open or Close</t>
  </si>
  <si>
    <t>Hydro Turbine Generator (Standby) Fail to Load and Run During First Hour of Operation</t>
  </si>
  <si>
    <t>Hydro Turbine Generator (Standby) Fail to Run After First Hour of Operation</t>
  </si>
  <si>
    <t>Hydro Turbine Generator (Standby) Fail to Start</t>
  </si>
  <si>
    <t>Motor-Driven Pump (Running) Fail to Run</t>
  </si>
  <si>
    <t>Motor-Driven Pump (Running) Fail to Start</t>
  </si>
  <si>
    <t>Motor-Driven Pump (Standby) Fail to Start</t>
  </si>
  <si>
    <t>MOV FC</t>
  </si>
  <si>
    <t>Motor-Operated Valve Fail to Control</t>
  </si>
  <si>
    <t>MOV FTO/C</t>
  </si>
  <si>
    <t>Motor-Operated Valve Fail to Open or Close</t>
  </si>
  <si>
    <t>MOV SO</t>
  </si>
  <si>
    <t>Motor-Operated Valve Spurious Operation</t>
  </si>
  <si>
    <t>ORF PLG</t>
  </si>
  <si>
    <t>Orifice Plug</t>
  </si>
  <si>
    <t>Positive Displacement Pump (Running) Fail to Run</t>
  </si>
  <si>
    <t>Positive Displacement Pump (Running) Fail to Start</t>
  </si>
  <si>
    <t>Positive Displacement Pump (Standby) Fail to Run During First Hour of Operation</t>
  </si>
  <si>
    <t>Positive Displacement Pump (Standby) Fail to Run After First Hour of Operation</t>
  </si>
  <si>
    <t>Positive Displacement Pump (Standby) Fail to Start</t>
  </si>
  <si>
    <t>PMP FTR</t>
  </si>
  <si>
    <t>Pump Volute Fail to Run</t>
  </si>
  <si>
    <t>POD FTO/C</t>
  </si>
  <si>
    <t>Pneumatic-Operated Damper Fail to Open or Close</t>
  </si>
  <si>
    <t>PORV FTC</t>
  </si>
  <si>
    <t>Power-Operated Relief Valve Fail to Close</t>
  </si>
  <si>
    <t>SOV FTO/C</t>
  </si>
  <si>
    <t>Solenoid-Operated Valve Fail to Open or Close</t>
  </si>
  <si>
    <t>SRV FTCL</t>
  </si>
  <si>
    <t>Safety Relief Valve Fail to Close (Passing Liquid)</t>
  </si>
  <si>
    <t>STR PLG</t>
  </si>
  <si>
    <t>Strainer Plug</t>
  </si>
  <si>
    <t>Turbine-Driven Pump (Running) Fail to Run</t>
  </si>
  <si>
    <t>Turbine-Driven Pump (Running) Fail to Start</t>
  </si>
  <si>
    <t>Turbine-Driven Pump (Standby) Fail to Run During First Hour of Operation</t>
  </si>
  <si>
    <t>Turbine-Driven Pump (Standby) Fail to Run After First Hour of Operation</t>
  </si>
  <si>
    <t>Turbine-Driven Pump (Standby) Fail to Start</t>
  </si>
  <si>
    <t>TSA PLG</t>
  </si>
  <si>
    <t>Traveling Screen Assembly Plug</t>
  </si>
  <si>
    <t>XVM FTO/C</t>
  </si>
  <si>
    <t>Manual Valve Fail to Open or Close</t>
  </si>
  <si>
    <t>XVM PLG</t>
  </si>
  <si>
    <t>Manual Valve Plug</t>
  </si>
  <si>
    <t>Total or Average</t>
  </si>
  <si>
    <t>Note a - A sufficient data set was defined as one with &gt;= 10 failures, &gt;= 0.1 failures/component, and &gt;= 8% components with failures.</t>
  </si>
  <si>
    <t>RCIC failure to recover injection valve failure to reopen</t>
  </si>
  <si>
    <t>RCIC injection valve fails to reopen</t>
  </si>
  <si>
    <t>HPCI failure to recover injection valve failure to reopen</t>
  </si>
  <si>
    <t>Initiating Event</t>
  </si>
  <si>
    <t>General Transient (BWRs)</t>
  </si>
  <si>
    <t>General Transient (PWRs)</t>
  </si>
  <si>
    <t>Loss of Vital AC Bus</t>
  </si>
  <si>
    <t>Loss of Vital DC Bus</t>
  </si>
  <si>
    <t>Stuck Open Safety/Relief Valve (BWRs)</t>
  </si>
  <si>
    <t>Stuck Open Safety/Relief Valve (PWRs)</t>
  </si>
  <si>
    <t>Steam Generator Tube Rupture (PWRs)</t>
  </si>
  <si>
    <t>Total Loss of Component Cooling Water</t>
  </si>
  <si>
    <t>Partial Loss of Component Cooling Water</t>
  </si>
  <si>
    <t>Large Loss-of-Coolant Accident (BWRs)</t>
  </si>
  <si>
    <t>Large Loss-of-Coolant Accident (PWRs)</t>
  </si>
  <si>
    <t>Plant Centered Contribution to LOOP</t>
  </si>
  <si>
    <t>Switchyard Centered Contribution to LOOP</t>
  </si>
  <si>
    <t>Grid Related Contribution to LOOP</t>
  </si>
  <si>
    <t>Weather Related Contribution to LOOP</t>
  </si>
  <si>
    <t>IEDB</t>
  </si>
  <si>
    <t>0 events for 1998 - 2002, so 1997 - 2004 data used</t>
  </si>
  <si>
    <t>No failures (but some ASP events have been close to complete loss of CCW)</t>
  </si>
  <si>
    <t>No failures, but there were events in the early 1980s (RCP seal LOCAs)</t>
  </si>
  <si>
    <t>[68]</t>
  </si>
  <si>
    <t>Note b - The value is rounded to 1.0, 1.2, 1.5, 2.0, 2.5, 3.0, 4.0, 5.0, 6.0, 7.0, 8.0, or 9.0 times the appropriate power of ten.</t>
  </si>
  <si>
    <t>Note c - The β factor is determined from the mean and α. The β factor is presented to three significant figures to preserve the mean of the distribution.</t>
  </si>
  <si>
    <t>Alpha</t>
  </si>
  <si>
    <t>Gamma</t>
  </si>
  <si>
    <t>Beta (Jeffreys, SCNID)</t>
  </si>
  <si>
    <t>RCIC failure to transfer back to injection mode (pump recirculation valve)</t>
  </si>
  <si>
    <t>Gamma (WSRC, LL)</t>
  </si>
  <si>
    <t>ADU FTOP</t>
  </si>
  <si>
    <t>Air Dryer Unit Fail to Operate</t>
  </si>
  <si>
    <t>Gamma (EB/PL/KS, LL)</t>
  </si>
  <si>
    <t>Beta (EB/PL/KS, LL)</t>
  </si>
  <si>
    <t>Gamma (Jeffreys, SCNID)</t>
  </si>
  <si>
    <t>Gamma(WSRC, LL)</t>
  </si>
  <si>
    <t>&gt; 50 gpm. Small leak times 0.02</t>
  </si>
  <si>
    <t>ABT FTOP</t>
  </si>
  <si>
    <t>Automatic Bus Transfer Switch Fail to Operate</t>
  </si>
  <si>
    <t>BUS FTOP</t>
  </si>
  <si>
    <t>Bus Fail to Operate</t>
  </si>
  <si>
    <t>Gamma (ILS*0.02, LL)</t>
  </si>
  <si>
    <t>1998 - 3Q2004 data used</t>
  </si>
  <si>
    <t>1998 - 3Q2004 data used. Data limited so EDG FTR used</t>
  </si>
  <si>
    <t>Gamma (EDG FTR, SCNID)</t>
  </si>
  <si>
    <t>PORV FTO</t>
  </si>
  <si>
    <t>Power-Operated Relief Valve Fail to Open</t>
  </si>
  <si>
    <t>Beta (PLL, SCNID)</t>
  </si>
  <si>
    <t>No data, so PLL FTOP used</t>
  </si>
  <si>
    <t>PMP FTS</t>
  </si>
  <si>
    <t>Pump Volute Fail to Start</t>
  </si>
  <si>
    <t>RTB FTO/C</t>
  </si>
  <si>
    <t>RPS Breaker (Combined) Fail to Open or Close</t>
  </si>
  <si>
    <t>RTB combined failure probability is BME + BSN*BUV</t>
  </si>
  <si>
    <t>SRV FTC</t>
  </si>
  <si>
    <t>SRV FTO</t>
  </si>
  <si>
    <t xml:space="preserve">Safety Relief Valve Fail to Close </t>
  </si>
  <si>
    <t>Safety Relief Valve Fail to Open</t>
  </si>
  <si>
    <t>Safety Relief Valve Spurious Operation</t>
  </si>
  <si>
    <t>Average of 95th percentiles of FTC data entries</t>
  </si>
  <si>
    <t>Beta (WSRC, SCNID)</t>
  </si>
  <si>
    <t>SRV SO</t>
  </si>
  <si>
    <t>Beta (STL, SCNID)</t>
  </si>
  <si>
    <t>Gamma (STL, SCNID)</t>
  </si>
  <si>
    <t>For SWSs with potential for environmental insults</t>
  </si>
  <si>
    <t>Cooling Tower Fan (Standby) Fail to Run During First Hour of Operation</t>
  </si>
  <si>
    <t>Cooling Tower Fan (Standby) Fail to Run After First Hour of Operation</t>
  </si>
  <si>
    <t>Cooling Tower Fan (Standby) Fail to Start</t>
  </si>
  <si>
    <t>VBV FTO</t>
  </si>
  <si>
    <t>Vacuum Breaker Valve Fail to Open</t>
  </si>
  <si>
    <t>System Study (1996 - 2002)</t>
  </si>
  <si>
    <t>System Study (1998 - 2002)</t>
  </si>
  <si>
    <t>System Study (1995 - 2002)</t>
  </si>
  <si>
    <t>System Study (1989 - 2002)</t>
  </si>
  <si>
    <t>MDC-TM</t>
  </si>
  <si>
    <t>Motor-Driven Compressor Test or Maintenance</t>
  </si>
  <si>
    <t>Beta (MSPI, MSPI)</t>
  </si>
  <si>
    <t>Beta (SS, SCNID)</t>
  </si>
  <si>
    <t>[69]</t>
  </si>
  <si>
    <t>IE-MLOCA (BWR)</t>
  </si>
  <si>
    <t>Gamma (EE, EE)</t>
  </si>
  <si>
    <t>IE-MLOCA (PWR)</t>
  </si>
  <si>
    <t>Medium Loss-of-Coolant Accident (BWRs)</t>
  </si>
  <si>
    <t>Medium Loss-of-Coolant Accident (PWRs)</t>
  </si>
  <si>
    <t>IE-SLOCA (BWR)</t>
  </si>
  <si>
    <t>Small Loss-of-Coolant Accident (BWRs)</t>
  </si>
  <si>
    <t>IE-SLOCA (PWR)</t>
  </si>
  <si>
    <t>Small Loss-of-Coolant Accident (PWRs)</t>
  </si>
  <si>
    <t>Critical Years (rcry)</t>
  </si>
  <si>
    <t>α</t>
  </si>
  <si>
    <t>β</t>
  </si>
  <si>
    <t>Beta (IPEs/2, SCNID)</t>
  </si>
  <si>
    <t>Gamma (ELS*0.07, LL)</t>
  </si>
  <si>
    <t>&gt; 50 gpm. Small leak times 0.07.</t>
  </si>
  <si>
    <t>MSW FTO/C</t>
  </si>
  <si>
    <t>Gamma (Jeffreys, Jeffreys)</t>
  </si>
  <si>
    <t>Gamma (Jeffreys, Simulation)</t>
  </si>
  <si>
    <t>EB failed but indicated little plant variation. No plants had more than 1 event.</t>
  </si>
  <si>
    <t>Additional Comments</t>
  </si>
  <si>
    <t>EB failed but indicated little plant variation. No plants had more than 2 events.</t>
  </si>
  <si>
    <t>EB worked. 3 plants had 3, 4, and 5 events.</t>
  </si>
  <si>
    <t>No events</t>
  </si>
  <si>
    <t>1 event</t>
  </si>
  <si>
    <t>EB failed. Of 3 events, 2 were at 1 plant.</t>
  </si>
  <si>
    <t>EB failed but indicated little plant variation. Of 3 events, no plant had more than 1.</t>
  </si>
  <si>
    <t>EB worked. Of 84 events, 5 plants had 3, 1 had 4, and 1 had 5. Rest had no more than 2 events.</t>
  </si>
  <si>
    <t>2 events, not at same plant</t>
  </si>
  <si>
    <t>EB failed but indicated little plant variation. Expected number is 4.4 per plant. 3 plants had 8 events and 1 had 9.</t>
  </si>
  <si>
    <t>EB worked. Expected number is 3.3 per plant. 4 plants had 8 events and 2 had 6.</t>
  </si>
  <si>
    <t>EB failed but indicated little plant variation. 6 events. No plant had more than 1 event.</t>
  </si>
  <si>
    <t>1997 - 2004 data, additional input from plant</t>
  </si>
  <si>
    <t>1997 - 2004 data</t>
  </si>
  <si>
    <t>Small leak times 0.07</t>
  </si>
  <si>
    <t>Gamma(Jeffreys, SCNID)</t>
  </si>
  <si>
    <t>Heat Exchanger Shell External Leak Small</t>
  </si>
  <si>
    <t>Heat Exchanger Shell External Leak Large</t>
  </si>
  <si>
    <t>Heat Exchanger Tube External Leak Small</t>
  </si>
  <si>
    <t>Heat Exchanger Tube External Leak Large</t>
  </si>
  <si>
    <t>Tank Unpressurized External Leak Small</t>
  </si>
  <si>
    <t>Tank Unpressurized External Leak Large</t>
  </si>
  <si>
    <t>Tank Pressurized External Leak Small</t>
  </si>
  <si>
    <t>Piping Service Water System External Leak Small</t>
  </si>
  <si>
    <t>Piping Service Water System External Leak Large</t>
  </si>
  <si>
    <t>Piping Non-Service Water System External Leak Small</t>
  </si>
  <si>
    <t>Piping Non-Service Water System External Leak Large</t>
  </si>
  <si>
    <t>1 to 50 gpm. 1997 - 2004 data. Leakage rate is per hour per foot.</t>
  </si>
  <si>
    <t>Gamma (ELS*0.2, LL)</t>
  </si>
  <si>
    <t>&gt; 50 gpm. Small leak times 0.2. Leakage rate is per hour per foot.</t>
  </si>
  <si>
    <t>Gamma (ELS*0.1, LL)</t>
  </si>
  <si>
    <t>&gt; 50 gpm. Small leak times 0.1. Leakage rate is per hour per foot.</t>
  </si>
  <si>
    <t>d or h</t>
  </si>
  <si>
    <t xml:space="preserve">d </t>
  </si>
  <si>
    <t>h</t>
  </si>
  <si>
    <t>d</t>
  </si>
  <si>
    <t>h-ft</t>
  </si>
  <si>
    <t>Comparison of IPE UAs versus 2002 - 2004 MSPI UAs and 1998 - 2002 ROP SSU UAs indicates a drop of approximately 50% for IPE UAs &gt; 5.0E-3. IPE value divided by 2.</t>
  </si>
  <si>
    <t>MSPI Trains</t>
  </si>
  <si>
    <t>ROP SSU Planned Outage Hours</t>
  </si>
  <si>
    <t>ROP SSU Unplanned Outage Hours</t>
  </si>
  <si>
    <t>ROP SSU Plant Critical Hours</t>
  </si>
  <si>
    <t>Beta (SSU, MSPI Ave)</t>
  </si>
  <si>
    <t>HTX-TM
(CCW)</t>
  </si>
  <si>
    <t>Train Description</t>
  </si>
  <si>
    <t>Train Unavailability Event</t>
  </si>
  <si>
    <t>HTX-TM
(RHR-BWR)</t>
  </si>
  <si>
    <t>Heat Exchanger Test or Maintenance (CCW)</t>
  </si>
  <si>
    <t>Heat Exchanger Test or Maintenance (RHR-BWR)</t>
  </si>
  <si>
    <t>CCW HTX trains may include 1 MDP or 2 MDPs in parallel</t>
  </si>
  <si>
    <t>HTX-TM
(RHR-PWR)</t>
  </si>
  <si>
    <t>Heat Exchanger Test or Maintenance (RHR-PWR)</t>
  </si>
  <si>
    <t>RHR-BWR HTX trains include 1 MDP or 2 MDPs in parallel</t>
  </si>
  <si>
    <t>RHR-PWR HTX trains include 1 MDP or 2 MDPs in parallel</t>
  </si>
  <si>
    <t>Isolation Condenser Test or Maintenance</t>
  </si>
  <si>
    <t>EDG-TM
(EPS)</t>
  </si>
  <si>
    <t>EDG-TM
(HPCS)</t>
  </si>
  <si>
    <t>Emergency Diesel Generator Test or Maintenance (EPS)</t>
  </si>
  <si>
    <t>Emergency Diesel Generator Test or Maintenance (HPCS)</t>
  </si>
  <si>
    <t>Motor-Driven Pump Test or Maintenance (HPSI)</t>
  </si>
  <si>
    <t>MDP-TM
(CCW)</t>
  </si>
  <si>
    <t>MDP-TM
(HPSI)</t>
  </si>
  <si>
    <t>MDP-TM
(RHR BWR)</t>
  </si>
  <si>
    <t>MDP-TM
(RHR PWR)</t>
  </si>
  <si>
    <t>MDP-TM
(ESW)</t>
  </si>
  <si>
    <t>Motor-Driven Pump Test or Maintenance (ESW)</t>
  </si>
  <si>
    <t>MDP-TM
(NSW)</t>
  </si>
  <si>
    <t>Motor-Driven Pump Test or Maintenance (NSW)</t>
  </si>
  <si>
    <t>MDP-TM
(RHRSW)</t>
  </si>
  <si>
    <t>Motor-Driven Pump Test or Maintenance (RHRSW)</t>
  </si>
  <si>
    <t>Most RHRSW MDPs are included in header trains with 2 parallel MDPs, rather than reported individually</t>
  </si>
  <si>
    <t>MDP-TM
(Other)</t>
  </si>
  <si>
    <t>Use results from all MDPs combined</t>
  </si>
  <si>
    <t>Results from all MDP data combined</t>
  </si>
  <si>
    <t>TDP-TM
(AFWS)</t>
  </si>
  <si>
    <t>TDP-TM
(HPCI)</t>
  </si>
  <si>
    <t>TDP-TM
(RCIC)</t>
  </si>
  <si>
    <t>DDP-TM
(SWS)</t>
  </si>
  <si>
    <t>FWR-TM</t>
  </si>
  <si>
    <t>Feedwater Injection Test or Maintenance</t>
  </si>
  <si>
    <t>Limited data. Average α used.</t>
  </si>
  <si>
    <t>Beta (MSPI, MSPI Ave)</t>
  </si>
  <si>
    <t>HDR-TM
(ESW)</t>
  </si>
  <si>
    <t>Header may include 1 MDP or 2 or more MDPs in parallel</t>
  </si>
  <si>
    <t>HDR-TM
(RHRSW)</t>
  </si>
  <si>
    <t>Header includes either 1 MDP or 2 MDPs in parallel</t>
  </si>
  <si>
    <t>Piping Header Test or Maintenance (ESW)</t>
  </si>
  <si>
    <t>Piping Header Test or Maintenance (RHRSW)</t>
  </si>
  <si>
    <t>Beta (IPEs, SCNID)</t>
  </si>
  <si>
    <t>DDP-TM
(AFWS)</t>
  </si>
  <si>
    <t>MDP-TM
(AFWS)</t>
  </si>
  <si>
    <t>MDP-TM
(HPCS)</t>
  </si>
  <si>
    <t>MSPI Data (2002 - 2004)</t>
  </si>
  <si>
    <t>ROP SSU Data (1998 - 2002)</t>
  </si>
  <si>
    <t>MSPI Mean/
ROP SSU Mean</t>
  </si>
  <si>
    <t>Comparison of MSPI and ROP SSU Train UA Data</t>
  </si>
  <si>
    <t>ROP SSU UA data do not cover SWSs or CCW</t>
  </si>
  <si>
    <t>ROP SSU result is combination of AFWS, HPCS, and HPSI data</t>
  </si>
  <si>
    <t>ROP SSU data do not identify AFWS pump types, so the result is an average of MDPs, TDPs, and DDPs</t>
  </si>
  <si>
    <t>Special Event Name</t>
  </si>
  <si>
    <t>d or
h</t>
  </si>
  <si>
    <t>Note that this is per hour. Failure occurred 8 min after RCIC initiation.</t>
  </si>
  <si>
    <t>The Harris event in the database involves complete failure of the NSW, not the ESW</t>
  </si>
  <si>
    <t>IE-LOESW</t>
  </si>
  <si>
    <t>Total Loss of Emergency Service Water</t>
  </si>
  <si>
    <t>Partial Loss of Emergency Service Water</t>
  </si>
  <si>
    <t>IE-PLOESW</t>
  </si>
  <si>
    <r>
      <t>Gamma (FTR</t>
    </r>
    <r>
      <rPr>
        <sz val="10"/>
        <rFont val="Arial"/>
        <family val="0"/>
      </rPr>
      <t>≤</t>
    </r>
    <r>
      <rPr>
        <sz val="10"/>
        <rFont val="Times New Roman"/>
        <family val="1"/>
      </rPr>
      <t>1H*0.06, LL)</t>
    </r>
  </si>
  <si>
    <r>
      <t>No data. FTR</t>
    </r>
    <r>
      <rPr>
        <sz val="10"/>
        <rFont val="Arial"/>
        <family val="0"/>
      </rPr>
      <t>≤</t>
    </r>
    <r>
      <rPr>
        <sz val="10"/>
        <rFont val="Times New Roman"/>
        <family val="1"/>
      </rPr>
      <t>1H times 0.06</t>
    </r>
  </si>
  <si>
    <t>Major change from draft report</t>
  </si>
  <si>
    <t>FLT PLG
(CLEAN)</t>
  </si>
  <si>
    <t>Filter Plug (Clean Water System)</t>
  </si>
  <si>
    <t>HTX PLG
CCW/RHR</t>
  </si>
  <si>
    <t>Heat Exchanger Plug/Foul (CCW or RHR)</t>
  </si>
  <si>
    <t>Data limited to CCW and RHR systems</t>
  </si>
  <si>
    <t>Gamma (ELS*0.15, LL)</t>
  </si>
  <si>
    <t>&gt; 50 gpm. Small leak times 0.15.</t>
  </si>
  <si>
    <t>Not in draft report</t>
  </si>
  <si>
    <t>PORV SO</t>
  </si>
  <si>
    <t>Power-Operated Relief Valve Spurious Operation</t>
  </si>
  <si>
    <t>SVV FTC</t>
  </si>
  <si>
    <t>SVV FTO</t>
  </si>
  <si>
    <t>SVV SO</t>
  </si>
  <si>
    <t>SVV FTCL</t>
  </si>
  <si>
    <t xml:space="preserve">Safety Valve Fail to Close </t>
  </si>
  <si>
    <t>Safety Valve Fail to Open</t>
  </si>
  <si>
    <t>Safety Valve Spurious Operation</t>
  </si>
  <si>
    <t>Safety Valve Fail to Close (Passing Liquid)</t>
  </si>
  <si>
    <t>MSPI data replace ROP SSU data. ROP data did not distinguish AFWS pump types.</t>
  </si>
  <si>
    <t>MSPI data replace ROP SSU data.</t>
  </si>
  <si>
    <t>Comments
(see Appendix A for details)</t>
  </si>
  <si>
    <t>Comments
(see Appendix B for details)</t>
  </si>
  <si>
    <t>Comments
(see Appendix C for details)</t>
  </si>
  <si>
    <t>Comments
(see Appendix D for details)</t>
  </si>
  <si>
    <t>Gamma(EB/PL/KS, EB/PL/KS)</t>
  </si>
  <si>
    <t>CHL STBY
FTS</t>
  </si>
  <si>
    <r>
      <t>CHL STBY
FTR</t>
    </r>
    <r>
      <rPr>
        <sz val="10"/>
        <rFont val="Arial"/>
        <family val="0"/>
      </rPr>
      <t>≤</t>
    </r>
    <r>
      <rPr>
        <sz val="10"/>
        <rFont val="Times New Roman"/>
        <family val="1"/>
      </rPr>
      <t>1H</t>
    </r>
  </si>
  <si>
    <t>CHL RUN
FTS</t>
  </si>
  <si>
    <t>CHL RUN
FTR</t>
  </si>
  <si>
    <t>AHU RUN
FTR</t>
  </si>
  <si>
    <t>AHU RUN
FTS</t>
  </si>
  <si>
    <r>
      <t>AHU STBY
FTR</t>
    </r>
    <r>
      <rPr>
        <sz val="10"/>
        <rFont val="Arial"/>
        <family val="0"/>
      </rPr>
      <t>≤</t>
    </r>
    <r>
      <rPr>
        <sz val="10"/>
        <rFont val="Times New Roman"/>
        <family val="1"/>
      </rPr>
      <t>1H</t>
    </r>
  </si>
  <si>
    <t>AHU STBY
FTR&gt;1H</t>
  </si>
  <si>
    <t>AHU STBY
FTS</t>
  </si>
  <si>
    <t>CHL STBY
FTR&gt;1H</t>
  </si>
  <si>
    <t>CTF RUN
FTR</t>
  </si>
  <si>
    <t>CTF RUN
FTS</t>
  </si>
  <si>
    <r>
      <t>CTF STBY
FTR</t>
    </r>
    <r>
      <rPr>
        <sz val="10"/>
        <rFont val="Arial"/>
        <family val="0"/>
      </rPr>
      <t>≤</t>
    </r>
    <r>
      <rPr>
        <sz val="10"/>
        <rFont val="Times New Roman"/>
        <family val="1"/>
      </rPr>
      <t>1H</t>
    </r>
  </si>
  <si>
    <t>CTF STBY
FTR&gt;1H</t>
  </si>
  <si>
    <t>CTF STBY
FTS</t>
  </si>
  <si>
    <t>CTG STBY
FTLR</t>
  </si>
  <si>
    <t>CTG STBY
FTR&gt;1H</t>
  </si>
  <si>
    <t>CTG STBY
FTS</t>
  </si>
  <si>
    <r>
      <t>DDP STBY
FTR</t>
    </r>
    <r>
      <rPr>
        <sz val="10"/>
        <rFont val="Arial"/>
        <family val="0"/>
      </rPr>
      <t>≤</t>
    </r>
    <r>
      <rPr>
        <sz val="10"/>
        <rFont val="Times New Roman"/>
        <family val="1"/>
      </rPr>
      <t>1H</t>
    </r>
  </si>
  <si>
    <t>DDP STBY
FTR&gt;1H</t>
  </si>
  <si>
    <t>DDP STBY
FTS</t>
  </si>
  <si>
    <t>EDG STBY
FTLR</t>
  </si>
  <si>
    <t>EDG STBY
FTR&gt;1H</t>
  </si>
  <si>
    <t>EDG STBY
FTS</t>
  </si>
  <si>
    <t>FAN RUN
FTR</t>
  </si>
  <si>
    <t>FAN RUN
FTS</t>
  </si>
  <si>
    <r>
      <t>FAN STBY
FTR</t>
    </r>
    <r>
      <rPr>
        <sz val="10"/>
        <rFont val="Arial"/>
        <family val="0"/>
      </rPr>
      <t>≤</t>
    </r>
    <r>
      <rPr>
        <sz val="10"/>
        <rFont val="Times New Roman"/>
        <family val="1"/>
      </rPr>
      <t>1H</t>
    </r>
  </si>
  <si>
    <t>FAN STBY
FTR&gt;1H</t>
  </si>
  <si>
    <t>FAN STBY
FTS</t>
  </si>
  <si>
    <t>HTG STBY
FTLR</t>
  </si>
  <si>
    <t>HTG STBY
FTR&gt;1H</t>
  </si>
  <si>
    <t>HTG STBY
FTS</t>
  </si>
  <si>
    <t>HTX SHELL
ELS</t>
  </si>
  <si>
    <t>HTX SHELL
ELL</t>
  </si>
  <si>
    <t>HTX TUBE
ELS</t>
  </si>
  <si>
    <t>HTX TUBE
ELL</t>
  </si>
  <si>
    <t>MDC RUN
FTR</t>
  </si>
  <si>
    <t>MDC RUN
FTS</t>
  </si>
  <si>
    <r>
      <t>MDC STBY
FTR</t>
    </r>
    <r>
      <rPr>
        <sz val="10"/>
        <rFont val="Arial"/>
        <family val="0"/>
      </rPr>
      <t>≤</t>
    </r>
    <r>
      <rPr>
        <sz val="10"/>
        <rFont val="Times New Roman"/>
        <family val="1"/>
      </rPr>
      <t>1H</t>
    </r>
  </si>
  <si>
    <t>MDC STBY
FTR&gt;1H</t>
  </si>
  <si>
    <t>MDC STBY
FTS</t>
  </si>
  <si>
    <t>MDP RUN
FTR</t>
  </si>
  <si>
    <t>MDP RUN
FTS</t>
  </si>
  <si>
    <r>
      <t>MDP STBY
FTR</t>
    </r>
    <r>
      <rPr>
        <sz val="10"/>
        <rFont val="Arial"/>
        <family val="0"/>
      </rPr>
      <t>≤</t>
    </r>
    <r>
      <rPr>
        <sz val="10"/>
        <rFont val="Times New Roman"/>
        <family val="1"/>
      </rPr>
      <t>1H</t>
    </r>
  </si>
  <si>
    <t>MDP STBY
FTR&gt;1H</t>
  </si>
  <si>
    <t>MDP STBY
FTS</t>
  </si>
  <si>
    <t>PDP RUN
FTR</t>
  </si>
  <si>
    <t>PDP RUN
FTS</t>
  </si>
  <si>
    <r>
      <t>PDP STBY
FTR</t>
    </r>
    <r>
      <rPr>
        <sz val="10"/>
        <rFont val="Arial"/>
        <family val="0"/>
      </rPr>
      <t>≤</t>
    </r>
    <r>
      <rPr>
        <sz val="10"/>
        <rFont val="Times New Roman"/>
        <family val="1"/>
      </rPr>
      <t>1H</t>
    </r>
  </si>
  <si>
    <t>PDP STBY
FTR&gt;1H</t>
  </si>
  <si>
    <t>PDP STBY
FTS</t>
  </si>
  <si>
    <t>PIPE SWS
ELS</t>
  </si>
  <si>
    <t>PIPE SWS
ELL</t>
  </si>
  <si>
    <t>PIPE OTHER
ELS</t>
  </si>
  <si>
    <t>PIPE OTHER
ELL</t>
  </si>
  <si>
    <t>RTB (BME)
FTO/C</t>
  </si>
  <si>
    <t>RTB (BSN)
FTOP</t>
  </si>
  <si>
    <t>RTB (BUV)
FTOP</t>
  </si>
  <si>
    <t>TDP RUN
FTR</t>
  </si>
  <si>
    <t>TDP RUN
FTS</t>
  </si>
  <si>
    <r>
      <t>TDP STBY
FTR</t>
    </r>
    <r>
      <rPr>
        <sz val="10"/>
        <rFont val="Arial"/>
        <family val="0"/>
      </rPr>
      <t>≤</t>
    </r>
    <r>
      <rPr>
        <sz val="10"/>
        <rFont val="Times New Roman"/>
        <family val="1"/>
      </rPr>
      <t>1H</t>
    </r>
  </si>
  <si>
    <t>TDP STBY
FTR&gt;1H</t>
  </si>
  <si>
    <t>TDP STBY
FTS</t>
  </si>
  <si>
    <t>TNK UNPR
ELS</t>
  </si>
  <si>
    <t>TNK UNPR
ELL</t>
  </si>
  <si>
    <t>TNK PRES
ELS</t>
  </si>
  <si>
    <t>Limited data. Average α used. MSPI data cover mainly the transmission lines (underground and aboveground from the HTGs to the plants)</t>
  </si>
  <si>
    <t>Beta (EB/YL/KS, EB/YL/KS)</t>
  </si>
  <si>
    <t>Acronyms - EB (empirical Bayes), HPCI (high-pressure coolant injection), HPCS (high-pressure core spray), KS (Kass-Steffey), MOV (motor-operated valve), RCIC (reactor core isolation cooling), SCNID (simplified constrained noninformative distribution), SUC (suction), SS (updated system study), TDP (turbine-driven pump), YL (year level)</t>
  </si>
  <si>
    <t>Beta (Jeffreys, Jeffreys)</t>
  </si>
  <si>
    <t>Industry-average Failure Probability or Rate Distribution (note a)</t>
  </si>
  <si>
    <t>Distribution
(note b)</t>
  </si>
  <si>
    <t>Rounded
Mean
(note c)</t>
  </si>
  <si>
    <r>
      <t xml:space="preserve">Rounded </t>
    </r>
    <r>
      <rPr>
        <i/>
        <sz val="10"/>
        <rFont val="Times New Roman"/>
        <family val="1"/>
      </rPr>
      <t>α</t>
    </r>
    <r>
      <rPr>
        <sz val="10"/>
        <rFont val="Times New Roman"/>
        <family val="1"/>
      </rPr>
      <t xml:space="preserve">
(note c)</t>
    </r>
  </si>
  <si>
    <r>
      <t>β</t>
    </r>
    <r>
      <rPr>
        <sz val="10"/>
        <rFont val="Times New Roman"/>
        <family val="1"/>
      </rPr>
      <t xml:space="preserve">
(note d)</t>
    </r>
  </si>
  <si>
    <t>Note b - The format for the distributions is the following:  distibution type (source for mean, source for α factor)</t>
  </si>
  <si>
    <t>Note c - The value is rounded to 1.0, 1.2, 1.5, 2.0, 2.5, 3.0, 4.0, 5.0, 6.0, 7.0, 8.0, or 9.0 times the appropriate power of ten.</t>
  </si>
  <si>
    <t>Note d - The β factor is determined from the mean and α. The β factor is presented to three significant figures to preserve the mean of the distribution</t>
  </si>
  <si>
    <t>Note d - The β parameter is determined from the mean and α. The β parameter is presented to three significant figures to preserve the mean of the distribution</t>
  </si>
  <si>
    <t>Industry-average Probability Distribution (note a)</t>
  </si>
  <si>
    <t>Rounded Mean
(note c)</t>
  </si>
  <si>
    <t>Note b - The format for the distributions is the following: distribution type (source for mean, source for α factor).</t>
  </si>
  <si>
    <r>
      <t xml:space="preserve">Note d - The </t>
    </r>
    <r>
      <rPr>
        <i/>
        <sz val="10"/>
        <rFont val="Times New Roman"/>
        <family val="1"/>
      </rPr>
      <t>β</t>
    </r>
    <r>
      <rPr>
        <sz val="10"/>
        <rFont val="Times New Roman"/>
        <family val="1"/>
      </rPr>
      <t xml:space="preserve"> factor is determined from mean and α. The </t>
    </r>
    <r>
      <rPr>
        <i/>
        <sz val="10"/>
        <rFont val="Times New Roman"/>
        <family val="1"/>
      </rPr>
      <t>β</t>
    </r>
    <r>
      <rPr>
        <sz val="10"/>
        <rFont val="Times New Roman"/>
        <family val="1"/>
      </rPr>
      <t xml:space="preserve"> factor is presented to three significant figures to preserve the mean of the distribution.</t>
    </r>
  </si>
  <si>
    <t>Industry-average Probability or Rate Distribution (note a)</t>
  </si>
  <si>
    <t>Combustion Turbine Generator (Standby) Fail to Load and Run During First Hour of Operation</t>
  </si>
  <si>
    <t>Motor-Driven Pump (Standby) Fail to Run During First Hour of Operation</t>
  </si>
  <si>
    <t>Motor-Driven Pump (Standby) Fail to Run After First Hour of Operation</t>
  </si>
  <si>
    <t>Manual Switch Fail to Open or Close</t>
  </si>
  <si>
    <t>Acronyms - BWR (boiling water reactor), EB (empirical Bayes), EPIX (Equipment Performance and Information Exchange), KS (Kass Steffey), LL (lower limit), PL (plant level), PLL (process logic level), PWR (pressurized water reactor), SCNID (simplified constrained noninformative distribution), SS (system study), STL (sensor/transmitter level), SWS (service water system), WSRC (Westinghouse Savannah River Company)</t>
  </si>
  <si>
    <t>Note b - The format for the distributions is the following: distribution type (source for mean, source for α factor). If the source for the mean indicates IPE/2, these are cases in which the IPE value was divided by 2 to reflect more current performance.</t>
  </si>
  <si>
    <t>Diesel-Driven Pump Test or Maintenance (SWS)</t>
  </si>
  <si>
    <t>Acronyms - AFWS (auxiliary feedwater system), BWR (boiling water reactor), CCW (component cooling water), EPS (emergency power system), ESW (emergency or essential service water), HPCI (high-pressure coolant injection), HPCS (high-pressure core spray), IC (isolation condenser), HTX (heat exchanger), IPE (Individual Plant Examination), MDP (motor-driven pump), MSPI (Mitigating Systems Performance Index), NSW (normal service water), PWR (pressurized water reactor), RCIC (reactor core isolation cooling), RHR (residual heat removal), RHRSW (residual heat removal service water), ROP (Reactor Oversight Process), SCNID (simplified constrained noninformative distribution), SS (system study), SSU (Safety System Unavailability), SWS (service water system)</t>
  </si>
  <si>
    <t>Note a - If these distributions are to be used as priors in Bayesian updates using plant-specific data, then a check for consistency between the prior and the data should be performed first, as suggested in supporting requirement DA-D4c in Reference 59 in NUREG/CR-6928 and outlined in Section 6.2.3.5 in Reference 17 in NUREG/CR-6928.</t>
  </si>
  <si>
    <t>Effective Date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</si>
</sst>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E+00"/>
    <numFmt numFmtId="165" formatCode="0.0"/>
    <numFmt numFmtId="166" formatCode="0.0E+00"/>
    <numFmt numFmtId="167" formatCode="0.000"/>
    <numFmt numFmtId="168" formatCode="0.0%"/>
    <numFmt numFmtId="169" formatCode="0.0000"/>
    <numFmt numFmtId="170" formatCode="0.00000"/>
  </numFmts>
  <fonts count="8">
    <font>
      <sz val="10"/>
      <name val="Arial"/>
      <family val="0"/>
    </font>
    <font>
      <u val="single"/>
      <sz val="10"/>
      <color indexed="36"/>
      <name val="Arial"/>
      <family val="0"/>
    </font>
    <font>
      <u val="single"/>
      <sz val="10"/>
      <color indexed="12"/>
      <name val="Arial"/>
      <family val="0"/>
    </font>
    <font>
      <sz val="10"/>
      <color indexed="8"/>
      <name val="Arial"/>
      <family val="0"/>
    </font>
    <font>
      <sz val="10"/>
      <name val="Times New Roman"/>
      <family val="1"/>
    </font>
    <font>
      <sz val="10"/>
      <color indexed="8"/>
      <name val="Times New Roman"/>
      <family val="1"/>
    </font>
    <font>
      <b/>
      <sz val="10"/>
      <name val="Times New Roman"/>
      <family val="1"/>
    </font>
    <font>
      <i/>
      <sz val="10"/>
      <name val="Times New Roman"/>
      <family val="1"/>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158">
    <xf numFmtId="0" fontId="0" fillId="0" borderId="0" xfId="0" applyAlignment="1">
      <alignment/>
    </xf>
    <xf numFmtId="0" fontId="0" fillId="0" borderId="0" xfId="0" applyAlignment="1">
      <alignment vertical="top"/>
    </xf>
    <xf numFmtId="0" fontId="4" fillId="0" borderId="0" xfId="0" applyFont="1" applyAlignment="1">
      <alignment horizontal="center" vertical="top"/>
    </xf>
    <xf numFmtId="0" fontId="4" fillId="0" borderId="0" xfId="0" applyFont="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center" vertical="top" wrapText="1"/>
    </xf>
    <xf numFmtId="0" fontId="4" fillId="0" borderId="1" xfId="0" applyFont="1" applyFill="1" applyBorder="1" applyAlignment="1">
      <alignment horizontal="center" vertical="top"/>
    </xf>
    <xf numFmtId="11" fontId="4" fillId="0" borderId="1"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166" fontId="4" fillId="0" borderId="1" xfId="0" applyNumberFormat="1" applyFont="1" applyBorder="1" applyAlignment="1">
      <alignment horizontal="center" vertical="top" wrapText="1"/>
    </xf>
    <xf numFmtId="0" fontId="5" fillId="0" borderId="0" xfId="21" applyFont="1" applyFill="1" applyBorder="1" applyAlignment="1">
      <alignment horizontal="center" vertical="top" wrapText="1"/>
      <protection/>
    </xf>
    <xf numFmtId="11" fontId="5" fillId="0" borderId="0" xfId="21" applyNumberFormat="1" applyFont="1" applyFill="1" applyBorder="1" applyAlignment="1">
      <alignment horizontal="center" vertical="top" wrapText="1"/>
      <protection/>
    </xf>
    <xf numFmtId="11" fontId="4" fillId="0" borderId="0" xfId="0" applyNumberFormat="1" applyFont="1" applyAlignment="1">
      <alignment horizontal="center" vertical="top" wrapText="1"/>
    </xf>
    <xf numFmtId="165" fontId="4" fillId="0" borderId="0" xfId="0" applyNumberFormat="1"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horizontal="center" vertical="top" wrapText="1"/>
    </xf>
    <xf numFmtId="1" fontId="4" fillId="0" borderId="0" xfId="0" applyNumberFormat="1" applyFont="1" applyAlignment="1">
      <alignment horizontal="center" vertical="top" wrapText="1"/>
    </xf>
    <xf numFmtId="2" fontId="4" fillId="0" borderId="0" xfId="0" applyNumberFormat="1" applyFont="1" applyAlignment="1">
      <alignment horizontal="center" vertical="top" wrapText="1"/>
    </xf>
    <xf numFmtId="166" fontId="4" fillId="0" borderId="0" xfId="0" applyNumberFormat="1" applyFont="1" applyAlignment="1">
      <alignment horizontal="center" vertical="top" wrapText="1"/>
    </xf>
    <xf numFmtId="1" fontId="5" fillId="0" borderId="0" xfId="21" applyNumberFormat="1" applyFont="1" applyFill="1" applyBorder="1" applyAlignment="1">
      <alignment horizontal="center" vertical="top" wrapText="1"/>
      <protection/>
    </xf>
    <xf numFmtId="0" fontId="5" fillId="0" borderId="0" xfId="21" applyFont="1" applyFill="1" applyBorder="1" applyAlignment="1">
      <alignment horizontal="left" vertical="top" wrapText="1"/>
      <protection/>
    </xf>
    <xf numFmtId="0" fontId="5" fillId="0" borderId="1" xfId="21" applyFont="1" applyFill="1" applyBorder="1" applyAlignment="1">
      <alignment horizontal="center" vertical="top" wrapText="1"/>
      <protection/>
    </xf>
    <xf numFmtId="165" fontId="4" fillId="0" borderId="1"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11" fontId="4" fillId="0" borderId="0" xfId="0" applyNumberFormat="1" applyFont="1" applyAlignment="1">
      <alignment vertical="top"/>
    </xf>
    <xf numFmtId="2" fontId="4" fillId="0" borderId="0" xfId="0" applyNumberFormat="1" applyFont="1" applyAlignment="1">
      <alignment vertical="top"/>
    </xf>
    <xf numFmtId="166" fontId="4" fillId="0" borderId="0" xfId="0" applyNumberFormat="1" applyFont="1" applyAlignment="1">
      <alignment vertical="top"/>
    </xf>
    <xf numFmtId="14" fontId="4" fillId="0" borderId="0" xfId="0" applyNumberFormat="1" applyFont="1" applyAlignment="1">
      <alignment horizontal="left" vertical="top"/>
    </xf>
    <xf numFmtId="11" fontId="4" fillId="0" borderId="0" xfId="0" applyNumberFormat="1" applyFont="1" applyAlignment="1">
      <alignment horizontal="right" vertical="top" wrapText="1"/>
    </xf>
    <xf numFmtId="0" fontId="4" fillId="0" borderId="0" xfId="0" applyFont="1" applyFill="1" applyBorder="1" applyAlignment="1">
      <alignment vertical="top"/>
    </xf>
    <xf numFmtId="0" fontId="4" fillId="0" borderId="0" xfId="0" applyFont="1" applyAlignment="1">
      <alignment vertical="top"/>
    </xf>
    <xf numFmtId="11" fontId="4" fillId="0" borderId="0" xfId="0" applyNumberFormat="1" applyFont="1" applyAlignment="1">
      <alignment horizontal="center" vertical="top"/>
    </xf>
    <xf numFmtId="166" fontId="4" fillId="0" borderId="0" xfId="0" applyNumberFormat="1" applyFont="1" applyAlignment="1">
      <alignment horizontal="right" vertical="top" wrapText="1"/>
    </xf>
    <xf numFmtId="11" fontId="4" fillId="0" borderId="0" xfId="0" applyNumberFormat="1" applyFont="1" applyAlignment="1">
      <alignment vertical="top" wrapText="1"/>
    </xf>
    <xf numFmtId="0" fontId="4" fillId="0" borderId="0" xfId="0" applyFont="1" applyAlignment="1">
      <alignment horizontal="right" vertical="top" wrapText="1"/>
    </xf>
    <xf numFmtId="2" fontId="4" fillId="0" borderId="0" xfId="0" applyNumberFormat="1" applyFont="1" applyAlignment="1">
      <alignment vertical="top" wrapText="1"/>
    </xf>
    <xf numFmtId="166" fontId="4" fillId="0" borderId="0" xfId="0" applyNumberFormat="1" applyFont="1" applyAlignment="1">
      <alignment vertical="top" wrapText="1"/>
    </xf>
    <xf numFmtId="0" fontId="5" fillId="0" borderId="1" xfId="21" applyFont="1" applyFill="1" applyBorder="1" applyAlignment="1">
      <alignment horizontal="left" vertical="top" wrapText="1"/>
      <protection/>
    </xf>
    <xf numFmtId="0" fontId="4" fillId="0" borderId="1" xfId="0" applyFont="1" applyFill="1" applyBorder="1" applyAlignment="1">
      <alignment horizontal="center" vertical="top" wrapText="1"/>
    </xf>
    <xf numFmtId="0" fontId="4" fillId="0" borderId="0" xfId="0" applyFont="1" applyFill="1" applyBorder="1" applyAlignment="1">
      <alignment horizontal="center" vertical="top" wrapText="1"/>
    </xf>
    <xf numFmtId="9" fontId="4" fillId="0" borderId="0" xfId="0" applyNumberFormat="1" applyFont="1" applyFill="1" applyBorder="1" applyAlignment="1">
      <alignment horizontal="center" vertical="top" wrapText="1"/>
    </xf>
    <xf numFmtId="0" fontId="4" fillId="0" borderId="1" xfId="0" applyFont="1" applyBorder="1" applyAlignment="1">
      <alignment vertical="top" wrapText="1"/>
    </xf>
    <xf numFmtId="165" fontId="4" fillId="0" borderId="0" xfId="0" applyNumberFormat="1" applyFont="1" applyAlignment="1">
      <alignment vertical="top"/>
    </xf>
    <xf numFmtId="0" fontId="6" fillId="0" borderId="0" xfId="0" applyFont="1" applyAlignment="1">
      <alignment horizontal="center" vertical="top"/>
    </xf>
    <xf numFmtId="11" fontId="4" fillId="0" borderId="0" xfId="0" applyNumberFormat="1" applyFont="1" applyBorder="1" applyAlignment="1">
      <alignment horizontal="center" vertical="top" wrapText="1"/>
    </xf>
    <xf numFmtId="165" fontId="4" fillId="0" borderId="0" xfId="0" applyNumberFormat="1" applyFont="1" applyBorder="1" applyAlignment="1">
      <alignment horizontal="center" vertical="top" wrapText="1"/>
    </xf>
    <xf numFmtId="0" fontId="4" fillId="0" borderId="0" xfId="0" applyFont="1" applyBorder="1" applyAlignment="1">
      <alignment horizontal="left" vertical="top" wrapText="1"/>
    </xf>
    <xf numFmtId="166" fontId="4" fillId="0" borderId="0" xfId="0" applyNumberFormat="1" applyFont="1" applyBorder="1" applyAlignment="1">
      <alignment horizontal="center" vertical="top" wrapText="1"/>
    </xf>
    <xf numFmtId="1" fontId="4" fillId="0" borderId="0" xfId="0" applyNumberFormat="1" applyFont="1" applyBorder="1" applyAlignment="1">
      <alignment horizontal="center" vertical="top" wrapText="1"/>
    </xf>
    <xf numFmtId="165" fontId="4" fillId="0" borderId="0" xfId="0" applyNumberFormat="1" applyFont="1" applyAlignment="1">
      <alignment horizontal="center" vertical="top"/>
    </xf>
    <xf numFmtId="0" fontId="4" fillId="0" borderId="0" xfId="0" applyFont="1" applyAlignment="1">
      <alignment horizontal="left" vertical="top" wrapText="1"/>
    </xf>
    <xf numFmtId="166" fontId="4" fillId="0" borderId="0" xfId="0" applyNumberFormat="1" applyFont="1" applyAlignment="1">
      <alignment horizontal="center" vertical="top"/>
    </xf>
    <xf numFmtId="1" fontId="4" fillId="0" borderId="0" xfId="0" applyNumberFormat="1" applyFont="1" applyAlignment="1">
      <alignment horizontal="center" vertical="top"/>
    </xf>
    <xf numFmtId="0" fontId="4" fillId="0" borderId="0" xfId="0" applyFont="1" applyAlignment="1">
      <alignment horizontal="left" vertical="top"/>
    </xf>
    <xf numFmtId="0" fontId="4" fillId="0" borderId="0" xfId="0" applyFont="1" applyBorder="1" applyAlignment="1">
      <alignment vertical="top" wrapText="1"/>
    </xf>
    <xf numFmtId="0" fontId="4" fillId="0" borderId="0" xfId="0" applyFont="1" applyBorder="1" applyAlignment="1">
      <alignment horizontal="left" vertical="top"/>
    </xf>
    <xf numFmtId="11" fontId="4" fillId="0" borderId="0" xfId="0" applyNumberFormat="1" applyFont="1" applyBorder="1" applyAlignment="1">
      <alignment horizontal="center" vertical="top"/>
    </xf>
    <xf numFmtId="165" fontId="4" fillId="0" borderId="0" xfId="0" applyNumberFormat="1" applyFont="1" applyBorder="1" applyAlignment="1">
      <alignment horizontal="center" vertical="top"/>
    </xf>
    <xf numFmtId="0" fontId="4" fillId="0" borderId="0" xfId="0" applyFont="1" applyBorder="1" applyAlignment="1">
      <alignment horizontal="center" vertical="top"/>
    </xf>
    <xf numFmtId="166" fontId="4" fillId="0" borderId="0" xfId="0" applyNumberFormat="1" applyFont="1" applyBorder="1" applyAlignment="1">
      <alignment horizontal="center" vertical="top"/>
    </xf>
    <xf numFmtId="1" fontId="4" fillId="0" borderId="0" xfId="0" applyNumberFormat="1" applyFont="1" applyBorder="1" applyAlignment="1">
      <alignment horizontal="center" vertical="top"/>
    </xf>
    <xf numFmtId="2" fontId="4" fillId="0" borderId="0" xfId="0" applyNumberFormat="1" applyFont="1" applyAlignment="1">
      <alignment horizontal="center" vertical="top"/>
    </xf>
    <xf numFmtId="0" fontId="4" fillId="0" borderId="0" xfId="0" applyFont="1" applyBorder="1" applyAlignment="1">
      <alignment vertical="top"/>
    </xf>
    <xf numFmtId="2" fontId="4" fillId="0" borderId="0" xfId="0" applyNumberFormat="1" applyFont="1" applyBorder="1" applyAlignment="1">
      <alignment horizontal="center" vertical="top"/>
    </xf>
    <xf numFmtId="14" fontId="4" fillId="0" borderId="0" xfId="0" applyNumberFormat="1" applyFont="1" applyAlignment="1">
      <alignment horizontal="left" vertical="top" wrapText="1"/>
    </xf>
    <xf numFmtId="0" fontId="4" fillId="0" borderId="0" xfId="0" applyFont="1" applyBorder="1" applyAlignment="1">
      <alignment horizontal="right" vertical="top" wrapText="1"/>
    </xf>
    <xf numFmtId="166" fontId="4" fillId="0" borderId="0" xfId="0" applyNumberFormat="1" applyFont="1" applyBorder="1" applyAlignment="1">
      <alignment horizontal="right" vertical="top" wrapText="1"/>
    </xf>
    <xf numFmtId="1" fontId="4" fillId="0" borderId="0" xfId="0" applyNumberFormat="1" applyFont="1" applyAlignment="1">
      <alignment vertical="top" wrapText="1"/>
    </xf>
    <xf numFmtId="2" fontId="4" fillId="0" borderId="0" xfId="0" applyNumberFormat="1" applyFont="1" applyBorder="1" applyAlignment="1">
      <alignment horizontal="center" vertical="top" wrapText="1"/>
    </xf>
    <xf numFmtId="11" fontId="4" fillId="0" borderId="1" xfId="0" applyNumberFormat="1" applyFont="1" applyBorder="1" applyAlignment="1">
      <alignment horizontal="center" vertical="top"/>
    </xf>
    <xf numFmtId="1" fontId="4" fillId="0" borderId="0" xfId="0" applyNumberFormat="1" applyFont="1" applyAlignment="1">
      <alignment vertical="top"/>
    </xf>
    <xf numFmtId="14" fontId="4" fillId="0" borderId="0" xfId="0" applyNumberFormat="1" applyFont="1" applyAlignment="1">
      <alignment vertical="top"/>
    </xf>
    <xf numFmtId="0" fontId="4" fillId="0" borderId="1" xfId="0" applyFont="1" applyBorder="1" applyAlignment="1">
      <alignment vertical="top"/>
    </xf>
    <xf numFmtId="165" fontId="4" fillId="0" borderId="1" xfId="0" applyNumberFormat="1" applyFont="1" applyBorder="1" applyAlignment="1">
      <alignment horizontal="center" vertical="top"/>
    </xf>
    <xf numFmtId="166" fontId="4" fillId="0" borderId="1" xfId="0" applyNumberFormat="1" applyFont="1" applyBorder="1" applyAlignment="1">
      <alignment horizontal="center" vertical="top"/>
    </xf>
    <xf numFmtId="1" fontId="4" fillId="0" borderId="1" xfId="0" applyNumberFormat="1" applyFont="1" applyBorder="1" applyAlignment="1">
      <alignment vertical="top"/>
    </xf>
    <xf numFmtId="0" fontId="4" fillId="0" borderId="2" xfId="0" applyFont="1" applyBorder="1" applyAlignment="1">
      <alignment vertical="top"/>
    </xf>
    <xf numFmtId="0" fontId="4" fillId="0" borderId="0" xfId="0" applyFont="1" applyFill="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horizontal="left" vertical="top"/>
    </xf>
    <xf numFmtId="0" fontId="0" fillId="0" borderId="0" xfId="0" applyFont="1" applyAlignment="1">
      <alignment vertical="top" wrapText="1"/>
    </xf>
    <xf numFmtId="0" fontId="5" fillId="0" borderId="0" xfId="21" applyFont="1" applyFill="1" applyBorder="1" applyAlignment="1">
      <alignment horizontal="left" vertical="top"/>
      <protection/>
    </xf>
    <xf numFmtId="11" fontId="4" fillId="0" borderId="0" xfId="21" applyNumberFormat="1" applyFont="1" applyAlignment="1">
      <alignment horizontal="center" vertical="top"/>
      <protection/>
    </xf>
    <xf numFmtId="0" fontId="4" fillId="0" borderId="0" xfId="0" applyNumberFormat="1" applyFont="1" applyAlignment="1">
      <alignment horizontal="center" vertical="top" wrapText="1"/>
    </xf>
    <xf numFmtId="166" fontId="4" fillId="0" borderId="0" xfId="0" applyNumberFormat="1" applyFont="1" applyBorder="1" applyAlignment="1">
      <alignment vertical="top"/>
    </xf>
    <xf numFmtId="11" fontId="4" fillId="0" borderId="0" xfId="0" applyNumberFormat="1" applyFont="1" applyBorder="1" applyAlignment="1">
      <alignment vertical="top"/>
    </xf>
    <xf numFmtId="11" fontId="4" fillId="0" borderId="2" xfId="0" applyNumberFormat="1" applyFont="1" applyBorder="1" applyAlignment="1">
      <alignment horizontal="center" vertical="top"/>
    </xf>
    <xf numFmtId="9" fontId="4" fillId="0" borderId="0" xfId="0" applyNumberFormat="1" applyFont="1" applyBorder="1" applyAlignment="1">
      <alignment horizontal="center" vertical="top" wrapText="1"/>
    </xf>
    <xf numFmtId="167" fontId="4" fillId="0" borderId="0" xfId="0" applyNumberFormat="1" applyFont="1" applyAlignment="1">
      <alignment vertical="top"/>
    </xf>
    <xf numFmtId="167" fontId="4" fillId="0" borderId="1" xfId="0" applyNumberFormat="1" applyFont="1" applyBorder="1" applyAlignment="1">
      <alignment horizontal="center" vertical="top" wrapText="1"/>
    </xf>
    <xf numFmtId="167" fontId="4" fillId="0" borderId="0" xfId="0" applyNumberFormat="1" applyFont="1" applyBorder="1" applyAlignment="1">
      <alignment horizontal="center" vertical="top" wrapText="1"/>
    </xf>
    <xf numFmtId="167" fontId="4" fillId="0" borderId="0" xfId="0" applyNumberFormat="1" applyFont="1" applyAlignment="1">
      <alignment horizontal="center" vertical="top"/>
    </xf>
    <xf numFmtId="167" fontId="4" fillId="0" borderId="0" xfId="0" applyNumberFormat="1" applyFont="1" applyBorder="1" applyAlignment="1">
      <alignment horizontal="center" vertical="top"/>
    </xf>
    <xf numFmtId="167" fontId="4" fillId="0" borderId="1" xfId="0" applyNumberFormat="1" applyFont="1" applyBorder="1" applyAlignment="1">
      <alignment horizontal="center" vertical="top"/>
    </xf>
    <xf numFmtId="0" fontId="4" fillId="0" borderId="0" xfId="0" applyFont="1" applyFill="1" applyBorder="1" applyAlignment="1">
      <alignment horizontal="center" vertical="top"/>
    </xf>
    <xf numFmtId="9" fontId="4" fillId="0" borderId="0" xfId="0" applyNumberFormat="1" applyFont="1" applyAlignment="1">
      <alignment horizontal="center" vertical="top"/>
    </xf>
    <xf numFmtId="167" fontId="4" fillId="0" borderId="0" xfId="0" applyNumberFormat="1" applyFont="1" applyAlignment="1">
      <alignment horizontal="center" vertical="top" wrapText="1"/>
    </xf>
    <xf numFmtId="165" fontId="4" fillId="0" borderId="0" xfId="0" applyNumberFormat="1" applyFont="1" applyAlignment="1">
      <alignment vertical="top" wrapText="1"/>
    </xf>
    <xf numFmtId="167" fontId="4" fillId="0" borderId="0" xfId="0" applyNumberFormat="1" applyFont="1" applyAlignment="1">
      <alignment vertical="top" wrapText="1"/>
    </xf>
    <xf numFmtId="9" fontId="4" fillId="0" borderId="0" xfId="0" applyNumberFormat="1" applyFont="1" applyAlignment="1">
      <alignment vertical="top"/>
    </xf>
    <xf numFmtId="49" fontId="4" fillId="0" borderId="0" xfId="0" applyNumberFormat="1" applyFont="1" applyAlignment="1">
      <alignment vertical="top"/>
    </xf>
    <xf numFmtId="49" fontId="4" fillId="0" borderId="0" xfId="0" applyNumberFormat="1" applyFont="1" applyBorder="1" applyAlignment="1">
      <alignment horizontal="center" vertical="top"/>
    </xf>
    <xf numFmtId="49" fontId="5" fillId="0" borderId="0" xfId="21" applyNumberFormat="1" applyFont="1" applyFill="1" applyBorder="1" applyAlignment="1">
      <alignment horizontal="center" vertical="top" wrapText="1"/>
      <protection/>
    </xf>
    <xf numFmtId="49" fontId="4" fillId="0" borderId="1" xfId="0" applyNumberFormat="1" applyFont="1" applyBorder="1" applyAlignment="1">
      <alignment horizontal="center" vertical="top"/>
    </xf>
    <xf numFmtId="9" fontId="4" fillId="0" borderId="0" xfId="0" applyNumberFormat="1" applyFont="1" applyAlignment="1">
      <alignment vertical="top" wrapText="1"/>
    </xf>
    <xf numFmtId="164" fontId="4" fillId="0" borderId="0" xfId="0" applyNumberFormat="1" applyFont="1" applyAlignment="1">
      <alignment vertical="top" wrapText="1"/>
    </xf>
    <xf numFmtId="164" fontId="4" fillId="0" borderId="0" xfId="0" applyNumberFormat="1" applyFont="1" applyBorder="1" applyAlignment="1">
      <alignment vertical="top" wrapText="1"/>
    </xf>
    <xf numFmtId="11" fontId="7" fillId="0" borderId="1" xfId="0" applyNumberFormat="1" applyFont="1" applyBorder="1" applyAlignment="1">
      <alignment horizontal="center" vertical="top" wrapText="1"/>
    </xf>
    <xf numFmtId="164" fontId="4" fillId="0" borderId="0" xfId="0" applyNumberFormat="1" applyFont="1" applyAlignment="1">
      <alignment vertical="top"/>
    </xf>
    <xf numFmtId="164" fontId="7" fillId="0" borderId="1" xfId="0" applyNumberFormat="1" applyFont="1" applyBorder="1" applyAlignment="1">
      <alignment horizontal="center" vertical="top" wrapText="1"/>
    </xf>
    <xf numFmtId="164" fontId="4" fillId="0" borderId="0" xfId="0" applyNumberFormat="1" applyFont="1" applyBorder="1" applyAlignment="1">
      <alignment horizontal="center" vertical="top"/>
    </xf>
    <xf numFmtId="164" fontId="4" fillId="0" borderId="0" xfId="0" applyNumberFormat="1" applyFont="1" applyAlignment="1">
      <alignment horizontal="center" vertical="top"/>
    </xf>
    <xf numFmtId="164" fontId="4" fillId="0" borderId="1" xfId="0" applyNumberFormat="1" applyFont="1" applyBorder="1" applyAlignment="1">
      <alignment horizontal="center" vertical="top"/>
    </xf>
    <xf numFmtId="164" fontId="0" fillId="0" borderId="0" xfId="0" applyNumberFormat="1" applyAlignment="1">
      <alignment vertical="top"/>
    </xf>
    <xf numFmtId="164" fontId="4" fillId="0" borderId="0" xfId="0" applyNumberFormat="1" applyFont="1" applyAlignment="1">
      <alignment horizontal="center" vertical="top" wrapText="1"/>
    </xf>
    <xf numFmtId="164" fontId="4" fillId="0" borderId="1" xfId="0" applyNumberFormat="1" applyFont="1" applyBorder="1" applyAlignment="1">
      <alignment horizontal="center" vertical="top" wrapText="1"/>
    </xf>
    <xf numFmtId="167" fontId="7" fillId="0" borderId="1" xfId="0" applyNumberFormat="1" applyFont="1" applyBorder="1" applyAlignment="1">
      <alignment horizontal="center" vertical="top" wrapText="1"/>
    </xf>
    <xf numFmtId="11" fontId="4" fillId="0" borderId="1" xfId="21" applyNumberFormat="1" applyFont="1" applyBorder="1" applyAlignment="1">
      <alignment horizontal="center" vertical="top"/>
      <protection/>
    </xf>
    <xf numFmtId="1" fontId="0" fillId="0" borderId="1" xfId="0" applyNumberFormat="1" applyFont="1" applyBorder="1" applyAlignment="1">
      <alignment horizontal="center" vertical="top" wrapText="1"/>
    </xf>
    <xf numFmtId="17" fontId="4" fillId="0" borderId="0" xfId="0" applyNumberFormat="1" applyFont="1" applyAlignment="1">
      <alignment horizontal="center" vertical="top"/>
    </xf>
    <xf numFmtId="17" fontId="4" fillId="0" borderId="1" xfId="0" applyNumberFormat="1" applyFont="1" applyBorder="1" applyAlignment="1">
      <alignment horizontal="center" vertical="top"/>
    </xf>
    <xf numFmtId="0" fontId="4" fillId="0" borderId="2" xfId="0" applyFont="1" applyBorder="1" applyAlignment="1">
      <alignment horizontal="left" vertical="top" wrapText="1"/>
    </xf>
    <xf numFmtId="0" fontId="0" fillId="0" borderId="2" xfId="0" applyBorder="1" applyAlignment="1">
      <alignment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0" fillId="0" borderId="1" xfId="0" applyFont="1" applyBorder="1" applyAlignment="1">
      <alignment horizontal="center" vertical="top"/>
    </xf>
    <xf numFmtId="49" fontId="4" fillId="0" borderId="0" xfId="0" applyNumberFormat="1" applyFont="1" applyBorder="1" applyAlignment="1">
      <alignment horizontal="center" vertical="top" wrapText="1"/>
    </xf>
    <xf numFmtId="49" fontId="0" fillId="0" borderId="1" xfId="0" applyNumberFormat="1" applyFont="1" applyBorder="1" applyAlignment="1">
      <alignment horizontal="center" vertical="top" wrapText="1"/>
    </xf>
    <xf numFmtId="0" fontId="0" fillId="0" borderId="1" xfId="0" applyFont="1" applyBorder="1" applyAlignment="1">
      <alignment vertical="top"/>
    </xf>
    <xf numFmtId="0" fontId="4" fillId="0" borderId="0" xfId="0" applyFont="1" applyBorder="1" applyAlignment="1">
      <alignment horizontal="center" vertical="top" wrapText="1"/>
    </xf>
    <xf numFmtId="0" fontId="0"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vertical="top" wrapText="1"/>
    </xf>
    <xf numFmtId="0" fontId="0" fillId="0" borderId="0" xfId="0" applyAlignment="1">
      <alignment vertical="top" wrapText="1"/>
    </xf>
    <xf numFmtId="0" fontId="4" fillId="0" borderId="1" xfId="0" applyFont="1" applyBorder="1" applyAlignment="1">
      <alignment horizontal="center" vertical="top"/>
    </xf>
    <xf numFmtId="0" fontId="4" fillId="0" borderId="0" xfId="0" applyFont="1" applyFill="1" applyBorder="1" applyAlignment="1">
      <alignment vertical="top" wrapText="1"/>
    </xf>
    <xf numFmtId="0" fontId="4" fillId="0" borderId="0" xfId="0" applyFont="1" applyBorder="1" applyAlignment="1">
      <alignment vertical="top" wrapText="1"/>
    </xf>
    <xf numFmtId="0" fontId="0" fillId="0" borderId="0" xfId="0" applyAlignment="1">
      <alignment/>
    </xf>
    <xf numFmtId="0" fontId="0" fillId="0" borderId="0" xfId="0" applyAlignment="1">
      <alignment wrapText="1"/>
    </xf>
    <xf numFmtId="0" fontId="4" fillId="0" borderId="0" xfId="0" applyFont="1" applyAlignment="1">
      <alignment horizontal="center" vertical="top" wrapText="1"/>
    </xf>
    <xf numFmtId="0" fontId="0" fillId="0" borderId="0" xfId="0" applyAlignment="1">
      <alignment horizontal="center" vertical="top" wrapText="1"/>
    </xf>
    <xf numFmtId="0" fontId="0" fillId="0" borderId="1" xfId="0" applyBorder="1" applyAlignment="1">
      <alignment horizontal="center" vertical="top" wrapText="1"/>
    </xf>
    <xf numFmtId="11" fontId="4" fillId="0" borderId="0" xfId="0" applyNumberFormat="1" applyFont="1" applyBorder="1" applyAlignment="1">
      <alignment horizontal="center" vertical="top" wrapText="1"/>
    </xf>
    <xf numFmtId="0" fontId="4" fillId="0" borderId="1" xfId="0" applyFont="1" applyBorder="1" applyAlignment="1">
      <alignment vertical="top"/>
    </xf>
    <xf numFmtId="0" fontId="4" fillId="0" borderId="0" xfId="0" applyFont="1" applyFill="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2" xfId="0" applyFont="1" applyBorder="1" applyAlignment="1">
      <alignment vertical="top" wrapText="1"/>
    </xf>
    <xf numFmtId="0" fontId="4" fillId="0" borderId="1" xfId="0" applyFont="1" applyBorder="1" applyAlignment="1">
      <alignment vertical="top" wrapText="1"/>
    </xf>
    <xf numFmtId="0" fontId="4" fillId="0" borderId="0" xfId="0" applyFont="1" applyFill="1" applyBorder="1" applyAlignment="1">
      <alignment horizontal="center" vertical="top" wrapText="1"/>
    </xf>
    <xf numFmtId="0" fontId="0" fillId="0" borderId="0" xfId="0" applyFont="1" applyAlignment="1">
      <alignment vertical="top" wrapText="1"/>
    </xf>
    <xf numFmtId="0" fontId="0" fillId="0" borderId="1" xfId="0" applyBorder="1" applyAlignment="1">
      <alignment vertical="top"/>
    </xf>
    <xf numFmtId="0" fontId="0" fillId="0" borderId="0" xfId="0" applyFont="1" applyBorder="1" applyAlignment="1">
      <alignment vertical="top"/>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0" fillId="0" borderId="0" xfId="0" applyAlignment="1">
      <alignment vertical="top"/>
    </xf>
    <xf numFmtId="0" fontId="0" fillId="0" borderId="1" xfId="0" applyBorder="1" applyAlignment="1">
      <alignment horizontal="center" vertical="top"/>
    </xf>
    <xf numFmtId="2" fontId="4" fillId="0" borderId="0" xfId="0" applyNumberFormat="1" applyFont="1" applyBorder="1" applyAlignment="1">
      <alignment horizontal="center"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218"/>
  <sheetViews>
    <sheetView zoomScale="75" zoomScaleNormal="75" workbookViewId="0" topLeftCell="A1">
      <pane xSplit="1" ySplit="5" topLeftCell="C138" activePane="bottomRight" state="frozen"/>
      <selection pane="topLeft" activeCell="A1" sqref="A1"/>
      <selection pane="topRight" activeCell="B1" sqref="B1"/>
      <selection pane="bottomLeft" activeCell="A11" sqref="A11"/>
      <selection pane="bottomRight" activeCell="A2" sqref="A2"/>
    </sheetView>
  </sheetViews>
  <sheetFormatPr defaultColWidth="9.140625" defaultRowHeight="12.75"/>
  <cols>
    <col min="1" max="1" width="12.140625" style="30" customWidth="1"/>
    <col min="2" max="2" width="37.140625" style="14" customWidth="1"/>
    <col min="3" max="3" width="8.57421875" style="30" customWidth="1"/>
    <col min="4" max="4" width="7.7109375" style="70" bestFit="1" customWidth="1"/>
    <col min="5" max="5" width="11.421875" style="70" customWidth="1"/>
    <col min="6" max="6" width="4.28125" style="70" customWidth="1"/>
    <col min="7" max="7" width="11.8515625" style="70" bestFit="1" customWidth="1"/>
    <col min="8" max="8" width="10.140625" style="31" hidden="1" customWidth="1"/>
    <col min="9" max="9" width="9.8515625" style="31" hidden="1" customWidth="1"/>
    <col min="10" max="10" width="18.421875" style="3" customWidth="1"/>
    <col min="11" max="11" width="10.00390625" style="24" bestFit="1" customWidth="1"/>
    <col min="12" max="12" width="6.8515625" style="88" bestFit="1" customWidth="1"/>
    <col min="13" max="13" width="11.28125" style="108" bestFit="1" customWidth="1"/>
    <col min="14" max="14" width="6.421875" style="42" customWidth="1"/>
    <col min="15" max="15" width="9.8515625" style="26" customWidth="1"/>
    <col min="16" max="16" width="9.00390625" style="42" customWidth="1"/>
    <col min="17" max="17" width="8.421875" style="30" customWidth="1"/>
    <col min="18" max="18" width="7.00390625" style="30" customWidth="1"/>
    <col min="19" max="19" width="32.57421875" style="14" customWidth="1"/>
    <col min="20" max="20" width="19.28125" style="30" hidden="1" customWidth="1"/>
    <col min="21" max="23" width="10.00390625" style="30" hidden="1" customWidth="1"/>
    <col min="24" max="24" width="9.8515625" style="30" hidden="1" customWidth="1"/>
    <col min="25" max="25" width="19.28125" style="2" customWidth="1"/>
    <col min="26" max="16384" width="19.28125" style="30" customWidth="1"/>
  </cols>
  <sheetData>
    <row r="1" ht="12.75">
      <c r="A1" s="30" t="s">
        <v>16</v>
      </c>
    </row>
    <row r="2" spans="1:3" ht="12.75">
      <c r="A2" s="27"/>
      <c r="B2" s="64"/>
      <c r="C2" s="27"/>
    </row>
    <row r="4" spans="1:25" s="2" customFormat="1" ht="12.75">
      <c r="A4" s="129" t="s">
        <v>333</v>
      </c>
      <c r="B4" s="129" t="s">
        <v>173</v>
      </c>
      <c r="C4" s="129" t="s">
        <v>175</v>
      </c>
      <c r="D4" s="134" t="s">
        <v>329</v>
      </c>
      <c r="E4" s="134"/>
      <c r="F4" s="134"/>
      <c r="G4" s="134"/>
      <c r="H4" s="134"/>
      <c r="I4" s="134"/>
      <c r="J4" s="131" t="s">
        <v>732</v>
      </c>
      <c r="K4" s="131"/>
      <c r="L4" s="131"/>
      <c r="M4" s="131"/>
      <c r="N4" s="131"/>
      <c r="O4" s="131"/>
      <c r="P4" s="131"/>
      <c r="Q4" s="131"/>
      <c r="R4" s="131"/>
      <c r="S4" s="129" t="s">
        <v>657</v>
      </c>
      <c r="Y4" s="139" t="s">
        <v>755</v>
      </c>
    </row>
    <row r="5" spans="1:25" s="3" customFormat="1" ht="39.75" customHeight="1">
      <c r="A5" s="131"/>
      <c r="B5" s="130"/>
      <c r="C5" s="134"/>
      <c r="D5" s="23" t="s">
        <v>189</v>
      </c>
      <c r="E5" s="23" t="s">
        <v>190</v>
      </c>
      <c r="F5" s="23" t="s">
        <v>559</v>
      </c>
      <c r="G5" s="23" t="s">
        <v>334</v>
      </c>
      <c r="H5" s="7" t="s">
        <v>330</v>
      </c>
      <c r="I5" s="7" t="s">
        <v>331</v>
      </c>
      <c r="J5" s="5" t="s">
        <v>733</v>
      </c>
      <c r="K5" s="7" t="s">
        <v>174</v>
      </c>
      <c r="L5" s="116" t="s">
        <v>518</v>
      </c>
      <c r="M5" s="109" t="s">
        <v>519</v>
      </c>
      <c r="N5" s="22" t="s">
        <v>212</v>
      </c>
      <c r="O5" s="9" t="s">
        <v>734</v>
      </c>
      <c r="P5" s="22" t="s">
        <v>735</v>
      </c>
      <c r="Q5" s="107" t="s">
        <v>736</v>
      </c>
      <c r="R5" s="5" t="s">
        <v>212</v>
      </c>
      <c r="S5" s="141"/>
      <c r="T5" s="15"/>
      <c r="U5" s="87">
        <v>0.95</v>
      </c>
      <c r="V5" s="15" t="s">
        <v>270</v>
      </c>
      <c r="W5" s="87">
        <v>0.95</v>
      </c>
      <c r="X5" s="15" t="s">
        <v>270</v>
      </c>
      <c r="Y5" s="140"/>
    </row>
    <row r="6" spans="1:25" ht="25.5" customHeight="1">
      <c r="A6" s="46" t="s">
        <v>466</v>
      </c>
      <c r="B6" s="46" t="s">
        <v>467</v>
      </c>
      <c r="C6" s="58" t="s">
        <v>336</v>
      </c>
      <c r="D6" s="60">
        <v>0</v>
      </c>
      <c r="E6" s="60">
        <v>163</v>
      </c>
      <c r="F6" s="60" t="s">
        <v>560</v>
      </c>
      <c r="G6" s="60">
        <v>23</v>
      </c>
      <c r="H6" s="56">
        <f>D6/E6</f>
        <v>0</v>
      </c>
      <c r="I6" s="31">
        <f>(D6+0.5)/(E6+1)</f>
        <v>0.003048780487804878</v>
      </c>
      <c r="J6" s="3" t="s">
        <v>456</v>
      </c>
      <c r="K6" s="31">
        <f>I6</f>
        <v>0.003048780487804878</v>
      </c>
      <c r="L6" s="91">
        <v>0.5</v>
      </c>
      <c r="M6" s="111">
        <f>L6*(1-K6)/K6</f>
        <v>163.5</v>
      </c>
      <c r="N6" s="49">
        <f>W6/X6</f>
        <v>8.400288947748615</v>
      </c>
      <c r="O6" s="51">
        <v>0.003</v>
      </c>
      <c r="P6" s="49">
        <v>0.5</v>
      </c>
      <c r="Q6" s="31">
        <f>P6*(1-O6)/O6</f>
        <v>166.16666666666666</v>
      </c>
      <c r="R6" s="49">
        <f>U6/V6</f>
        <v>8.401014772940476</v>
      </c>
      <c r="S6" s="14" t="s">
        <v>448</v>
      </c>
      <c r="U6" s="31">
        <f>BETAINV(0.95,P6,Q6)</f>
        <v>0.011509716510772705</v>
      </c>
      <c r="V6" s="31">
        <f>BETAINV(0.5,P6,Q6)</f>
        <v>0.0013700388371944427</v>
      </c>
      <c r="W6" s="31">
        <f>BETAINV(0.95,L6,M6)</f>
        <v>0.011696577072143555</v>
      </c>
      <c r="X6" s="31">
        <f>BETAINV(0.5,L6,M6)</f>
        <v>0.0013924017548561096</v>
      </c>
      <c r="Y6" s="119">
        <v>39114</v>
      </c>
    </row>
    <row r="7" spans="1:25" s="3" customFormat="1" ht="25.5" customHeight="1">
      <c r="A7" s="46" t="s">
        <v>102</v>
      </c>
      <c r="B7" s="46" t="s">
        <v>101</v>
      </c>
      <c r="C7" s="58" t="s">
        <v>336</v>
      </c>
      <c r="D7" s="48">
        <v>3</v>
      </c>
      <c r="E7" s="52">
        <f>G7*8*8760</f>
        <v>67346880</v>
      </c>
      <c r="F7" s="52" t="s">
        <v>561</v>
      </c>
      <c r="G7" s="48">
        <v>961</v>
      </c>
      <c r="H7" s="56">
        <f>D7/E7</f>
        <v>4.4545493421521534E-08</v>
      </c>
      <c r="I7" s="31">
        <f>(D7+0.5)/E7</f>
        <v>5.1969742325108456E-08</v>
      </c>
      <c r="J7" s="15" t="s">
        <v>461</v>
      </c>
      <c r="K7" s="44">
        <v>4.94E-08</v>
      </c>
      <c r="L7" s="90">
        <v>0.3</v>
      </c>
      <c r="M7" s="111">
        <f>L7/K7</f>
        <v>6072874.493927126</v>
      </c>
      <c r="N7" s="49">
        <f>W7/X7</f>
        <v>18.765606572139173</v>
      </c>
      <c r="O7" s="51">
        <v>5E-08</v>
      </c>
      <c r="P7" s="49">
        <v>0.3</v>
      </c>
      <c r="Q7" s="31">
        <f>P7/O7</f>
        <v>6000000</v>
      </c>
      <c r="R7" s="49">
        <f>U7/V7</f>
        <v>18.76560657213918</v>
      </c>
      <c r="S7" s="14" t="s">
        <v>540</v>
      </c>
      <c r="T7" s="43"/>
      <c r="U7" s="31">
        <f>GAMMAINV(0.95,P7,1/Q7)</f>
        <v>2.2872502078462684E-07</v>
      </c>
      <c r="V7" s="31">
        <f>GAMMAINV(0.5,P7,1/Q7)</f>
        <v>1.2188522652084642E-08</v>
      </c>
      <c r="W7" s="31">
        <f>GAMMAINV(0.95,L7,1/M7)</f>
        <v>2.2598032053521123E-07</v>
      </c>
      <c r="X7" s="31">
        <f>GAMMAINV(0.5,L7,1/M7)</f>
        <v>1.2042260380259626E-08</v>
      </c>
      <c r="Y7" s="119">
        <v>39114</v>
      </c>
    </row>
    <row r="8" spans="1:25" s="3" customFormat="1" ht="25.5" customHeight="1">
      <c r="A8" s="46" t="s">
        <v>103</v>
      </c>
      <c r="B8" s="46" t="s">
        <v>104</v>
      </c>
      <c r="C8" s="15" t="s">
        <v>336</v>
      </c>
      <c r="D8" s="48"/>
      <c r="E8" s="48"/>
      <c r="F8" s="48" t="s">
        <v>561</v>
      </c>
      <c r="G8" s="48"/>
      <c r="H8" s="44"/>
      <c r="I8" s="44"/>
      <c r="J8" s="15" t="s">
        <v>521</v>
      </c>
      <c r="K8" s="44">
        <f>K7*0.07</f>
        <v>3.4580000000000003E-09</v>
      </c>
      <c r="L8" s="90">
        <v>0.3</v>
      </c>
      <c r="M8" s="111">
        <f>L8/K8</f>
        <v>86755349.91324463</v>
      </c>
      <c r="N8" s="49">
        <f>W8/X8</f>
        <v>18.765606572139173</v>
      </c>
      <c r="O8" s="51">
        <v>3E-09</v>
      </c>
      <c r="P8" s="49">
        <v>0.3</v>
      </c>
      <c r="Q8" s="31">
        <f>P8/O8</f>
        <v>100000000</v>
      </c>
      <c r="R8" s="49">
        <f>U8/V8</f>
        <v>18.765606572139173</v>
      </c>
      <c r="S8" s="14" t="s">
        <v>541</v>
      </c>
      <c r="T8" s="43"/>
      <c r="U8" s="31">
        <f>GAMMAINV(0.95,P8,1/Q8)</f>
        <v>1.3723501247077606E-08</v>
      </c>
      <c r="V8" s="31">
        <f>GAMMAINV(0.5,P8,1/Q8)</f>
        <v>7.313113591250785E-10</v>
      </c>
      <c r="W8" s="31">
        <f>GAMMAINV(0.95,L8,1/M8)</f>
        <v>1.5818622437464786E-08</v>
      </c>
      <c r="X8" s="31">
        <f>GAMMAINV(0.5,L8,1/M8)</f>
        <v>8.429582266181739E-10</v>
      </c>
      <c r="Y8" s="119">
        <v>39114</v>
      </c>
    </row>
    <row r="9" spans="1:25" s="3" customFormat="1" ht="25.5" customHeight="1">
      <c r="A9" s="46" t="s">
        <v>459</v>
      </c>
      <c r="B9" s="46" t="s">
        <v>460</v>
      </c>
      <c r="C9" s="58" t="s">
        <v>343</v>
      </c>
      <c r="D9" s="48"/>
      <c r="E9" s="48"/>
      <c r="F9" s="48" t="s">
        <v>561</v>
      </c>
      <c r="G9" s="48"/>
      <c r="H9" s="44"/>
      <c r="I9" s="44">
        <v>5E-06</v>
      </c>
      <c r="J9" s="15" t="s">
        <v>458</v>
      </c>
      <c r="K9" s="44">
        <f>I9</f>
        <v>5E-06</v>
      </c>
      <c r="L9" s="90">
        <v>0.3</v>
      </c>
      <c r="M9" s="111">
        <f>L9/K9</f>
        <v>59999.99999999999</v>
      </c>
      <c r="N9" s="49">
        <f>W9/X9</f>
        <v>18.76534602045141</v>
      </c>
      <c r="O9" s="51">
        <v>5E-06</v>
      </c>
      <c r="P9" s="49">
        <v>0.3</v>
      </c>
      <c r="Q9" s="31">
        <f>P9/O9</f>
        <v>59999.99999999999</v>
      </c>
      <c r="R9" s="49">
        <f>U9/V9</f>
        <v>18.765606572139177</v>
      </c>
      <c r="S9" s="14"/>
      <c r="T9" s="43"/>
      <c r="U9" s="31">
        <f>GAMMAINV(0.95,P9,1/Q9)</f>
        <v>2.287250207846268E-05</v>
      </c>
      <c r="V9" s="31">
        <f>GAMMAINV(0.5,P9,1/Q9)</f>
        <v>1.2188522652084644E-06</v>
      </c>
      <c r="W9" s="31">
        <f>BETAINV(0.95,L9,M9)</f>
        <v>2.2872351109981537E-05</v>
      </c>
      <c r="X9" s="31">
        <f>BETAINV(0.5,L9,M9)</f>
        <v>1.2188611435703933E-06</v>
      </c>
      <c r="Y9" s="119">
        <v>39114</v>
      </c>
    </row>
    <row r="10" spans="1:25" s="43" customFormat="1" ht="25.5" customHeight="1">
      <c r="A10" s="14" t="s">
        <v>666</v>
      </c>
      <c r="B10" s="14" t="s">
        <v>335</v>
      </c>
      <c r="C10" s="58" t="s">
        <v>336</v>
      </c>
      <c r="D10" s="52">
        <v>24</v>
      </c>
      <c r="E10" s="52">
        <v>4864939</v>
      </c>
      <c r="F10" s="52" t="s">
        <v>561</v>
      </c>
      <c r="G10" s="52">
        <v>176</v>
      </c>
      <c r="H10" s="56">
        <f>D10/E10</f>
        <v>4.933258155960434E-06</v>
      </c>
      <c r="I10" s="31">
        <f>(D10+0.5)/E10</f>
        <v>5.0360343675429434E-06</v>
      </c>
      <c r="J10" s="3" t="s">
        <v>461</v>
      </c>
      <c r="K10" s="31">
        <v>1.37E-05</v>
      </c>
      <c r="L10" s="91">
        <v>0.3</v>
      </c>
      <c r="M10" s="111">
        <f>L10/K10</f>
        <v>21897.810218978102</v>
      </c>
      <c r="N10" s="49">
        <f>W10/X10</f>
        <v>18.76560657213917</v>
      </c>
      <c r="O10" s="51">
        <v>1.5E-05</v>
      </c>
      <c r="P10" s="49">
        <v>0.3</v>
      </c>
      <c r="Q10" s="31">
        <f>P10/O10</f>
        <v>20000</v>
      </c>
      <c r="R10" s="49">
        <f>U10/V10</f>
        <v>18.765606572139173</v>
      </c>
      <c r="S10" s="14"/>
      <c r="U10" s="31">
        <f>GAMMAINV(0.95,P10,1/Q10)</f>
        <v>6.861750623538804E-05</v>
      </c>
      <c r="V10" s="31">
        <f>GAMMAINV(0.5,P10,1/Q10)</f>
        <v>3.656556795625393E-06</v>
      </c>
      <c r="W10" s="31">
        <f>GAMMAINV(0.95,L10,1/M10)</f>
        <v>6.267065569498772E-05</v>
      </c>
      <c r="X10" s="31">
        <f>GAMMAINV(0.5,L10,1/M10)</f>
        <v>3.339655206671192E-06</v>
      </c>
      <c r="Y10" s="119">
        <v>39114</v>
      </c>
    </row>
    <row r="11" spans="1:25" ht="25.5" customHeight="1">
      <c r="A11" s="14" t="s">
        <v>667</v>
      </c>
      <c r="B11" s="14" t="s">
        <v>337</v>
      </c>
      <c r="C11" s="58" t="s">
        <v>336</v>
      </c>
      <c r="D11" s="52">
        <v>31</v>
      </c>
      <c r="E11" s="52">
        <v>15484</v>
      </c>
      <c r="F11" s="52" t="s">
        <v>562</v>
      </c>
      <c r="G11" s="52">
        <v>176</v>
      </c>
      <c r="H11" s="56">
        <f>D11/E11</f>
        <v>0.0020020666494445878</v>
      </c>
      <c r="I11" s="31">
        <f>(D11+0.5)/(E11+1)</f>
        <v>0.0020342266709719083</v>
      </c>
      <c r="J11" s="3" t="s">
        <v>462</v>
      </c>
      <c r="K11" s="31">
        <v>0.00273</v>
      </c>
      <c r="L11" s="91">
        <v>0.3</v>
      </c>
      <c r="M11" s="111">
        <f>L11*(1-K11)/K11</f>
        <v>109.59010989010989</v>
      </c>
      <c r="N11" s="49">
        <f aca="true" t="shared" si="0" ref="N11:N104">W11/X11</f>
        <v>18.654405379528402</v>
      </c>
      <c r="O11" s="51">
        <v>0.0025</v>
      </c>
      <c r="P11" s="49">
        <v>0.3</v>
      </c>
      <c r="Q11" s="31">
        <f>P11*(1-O11)/O11</f>
        <v>119.7</v>
      </c>
      <c r="R11" s="49">
        <f aca="true" t="shared" si="1" ref="R11:R105">U11/V11</f>
        <v>18.663812396613796</v>
      </c>
      <c r="U11" s="31">
        <f>BETAINV(0.95,P11,Q11)</f>
        <v>0.011432647705078125</v>
      </c>
      <c r="V11" s="31">
        <f>BETAINV(0.5,P11,Q11)</f>
        <v>0.0006125569343566895</v>
      </c>
      <c r="W11" s="31">
        <f>BETAINV(0.95,L11,M11)</f>
        <v>0.01248401403427124</v>
      </c>
      <c r="X11" s="31">
        <f>BETAINV(0.5,L11,M11)</f>
        <v>0.0006692260503768921</v>
      </c>
      <c r="Y11" s="119">
        <v>39114</v>
      </c>
    </row>
    <row r="12" spans="1:25" ht="25.5" customHeight="1">
      <c r="A12" s="14" t="s">
        <v>668</v>
      </c>
      <c r="B12" s="14" t="s">
        <v>338</v>
      </c>
      <c r="C12" s="58" t="s">
        <v>336</v>
      </c>
      <c r="D12" s="52">
        <v>4</v>
      </c>
      <c r="E12" s="52">
        <v>6965</v>
      </c>
      <c r="F12" s="52" t="s">
        <v>561</v>
      </c>
      <c r="G12" s="52">
        <v>56</v>
      </c>
      <c r="H12" s="56">
        <f>D12/E12</f>
        <v>0.000574300071787509</v>
      </c>
      <c r="I12" s="31">
        <f>(D12+0.5)/E12</f>
        <v>0.0006460875807609476</v>
      </c>
      <c r="J12" s="3" t="s">
        <v>461</v>
      </c>
      <c r="K12" s="31">
        <v>0.00228</v>
      </c>
      <c r="L12" s="91">
        <v>0.3</v>
      </c>
      <c r="M12" s="111">
        <f>L12/K12</f>
        <v>131.57894736842104</v>
      </c>
      <c r="N12" s="49">
        <f t="shared" si="0"/>
        <v>18.76560657213917</v>
      </c>
      <c r="O12" s="51">
        <v>0.0025</v>
      </c>
      <c r="P12" s="49">
        <v>0.3</v>
      </c>
      <c r="Q12" s="31">
        <f>P12/O12</f>
        <v>120</v>
      </c>
      <c r="R12" s="49">
        <f t="shared" si="1"/>
        <v>18.765606572139173</v>
      </c>
      <c r="U12" s="31">
        <f>GAMMAINV(0.95,P12,1/Q12)</f>
        <v>0.011436251039231335</v>
      </c>
      <c r="V12" s="31">
        <f>GAMMAINV(0.5,P12,1/Q12)</f>
        <v>0.000609426132604232</v>
      </c>
      <c r="W12" s="31">
        <f>GAMMAINV(0.95,L12,1/M12)</f>
        <v>0.01042986094777898</v>
      </c>
      <c r="X12" s="31">
        <f>GAMMAINV(0.5,L12,1/M12)</f>
        <v>0.0005557966329350597</v>
      </c>
      <c r="Y12" s="119">
        <v>39114</v>
      </c>
    </row>
    <row r="13" spans="1:25" ht="25.5" customHeight="1">
      <c r="A13" s="14" t="s">
        <v>669</v>
      </c>
      <c r="B13" s="14" t="s">
        <v>339</v>
      </c>
      <c r="C13" s="58" t="s">
        <v>336</v>
      </c>
      <c r="D13" s="52">
        <v>0</v>
      </c>
      <c r="E13" s="52">
        <v>131445</v>
      </c>
      <c r="F13" s="52" t="s">
        <v>561</v>
      </c>
      <c r="G13" s="52">
        <v>175</v>
      </c>
      <c r="H13" s="56">
        <f>D13/E13</f>
        <v>0</v>
      </c>
      <c r="I13" s="31">
        <f>(D13+0.5)/E13</f>
        <v>3.803872342044201E-06</v>
      </c>
      <c r="J13" s="3" t="s">
        <v>463</v>
      </c>
      <c r="K13" s="31">
        <f>I13</f>
        <v>3.803872342044201E-06</v>
      </c>
      <c r="L13" s="91">
        <v>0.5</v>
      </c>
      <c r="M13" s="111">
        <f>L13/K13</f>
        <v>131445</v>
      </c>
      <c r="N13" s="49">
        <f t="shared" si="0"/>
        <v>8.443947193457868</v>
      </c>
      <c r="O13" s="51">
        <v>4E-06</v>
      </c>
      <c r="P13" s="49">
        <v>0.5</v>
      </c>
      <c r="Q13" s="31">
        <f>P13/O13</f>
        <v>125000</v>
      </c>
      <c r="R13" s="49">
        <f t="shared" si="1"/>
        <v>8.443947193457866</v>
      </c>
      <c r="U13" s="31">
        <f>GAMMAINV(0.95,P13,1/Q13)</f>
        <v>1.5365836597959012E-05</v>
      </c>
      <c r="V13" s="31">
        <f>GAMMAINV(0.5,P13,1/Q13)</f>
        <v>1.8197457001938658E-06</v>
      </c>
      <c r="W13" s="31">
        <f>GAMMAINV(0.95,L13,1/M13)</f>
        <v>1.4612420211836713E-05</v>
      </c>
      <c r="X13" s="31">
        <f>GAMMAINV(0.5,L13,1/M13)</f>
        <v>1.7305200846303261E-06</v>
      </c>
      <c r="Y13" s="119">
        <v>39114</v>
      </c>
    </row>
    <row r="14" spans="1:25" ht="25.5" customHeight="1">
      <c r="A14" s="14" t="s">
        <v>670</v>
      </c>
      <c r="B14" s="14" t="s">
        <v>340</v>
      </c>
      <c r="C14" s="58" t="s">
        <v>336</v>
      </c>
      <c r="D14" s="52">
        <v>10</v>
      </c>
      <c r="E14" s="52">
        <v>22251</v>
      </c>
      <c r="F14" s="52" t="s">
        <v>562</v>
      </c>
      <c r="G14" s="52">
        <v>231</v>
      </c>
      <c r="H14" s="56">
        <f>D14/E14</f>
        <v>0.0004494180036852276</v>
      </c>
      <c r="I14" s="31">
        <f>(D14+0.5)/(E14+1)</f>
        <v>0.00047186769728563727</v>
      </c>
      <c r="J14" s="3" t="s">
        <v>355</v>
      </c>
      <c r="K14" s="31">
        <v>0.000829</v>
      </c>
      <c r="L14" s="91">
        <v>0.36</v>
      </c>
      <c r="M14" s="111">
        <f>L14*(1-K14)/K14</f>
        <v>433.8981423401689</v>
      </c>
      <c r="N14" s="49">
        <f t="shared" si="0"/>
        <v>13.500602252636176</v>
      </c>
      <c r="O14" s="51">
        <v>0.0008</v>
      </c>
      <c r="P14" s="49">
        <v>0.4</v>
      </c>
      <c r="Q14" s="31">
        <f>P14*(1-O14)/O14</f>
        <v>499.6</v>
      </c>
      <c r="R14" s="49">
        <f t="shared" si="1"/>
        <v>11.43825814889852</v>
      </c>
      <c r="U14" s="31">
        <f>BETAINV(0.95,P14,Q14)</f>
        <v>0.0033230483531951904</v>
      </c>
      <c r="V14" s="31">
        <f>BETAINV(0.5,P14,Q14)</f>
        <v>0.00029052048921585083</v>
      </c>
      <c r="W14" s="31">
        <f>BETAINV(0.95,L14,M14)</f>
        <v>0.0035700201988220215</v>
      </c>
      <c r="X14" s="31">
        <f>BETAINV(0.5,L14,M14)</f>
        <v>0.0002644341439008713</v>
      </c>
      <c r="Y14" s="119">
        <v>39114</v>
      </c>
    </row>
    <row r="15" spans="1:25" ht="25.5" customHeight="1">
      <c r="A15" s="54" t="s">
        <v>341</v>
      </c>
      <c r="B15" s="54" t="s">
        <v>342</v>
      </c>
      <c r="C15" s="58" t="s">
        <v>343</v>
      </c>
      <c r="D15" s="60"/>
      <c r="E15" s="60"/>
      <c r="F15" s="60" t="s">
        <v>561</v>
      </c>
      <c r="G15" s="60"/>
      <c r="H15" s="56"/>
      <c r="I15" s="56">
        <v>3E-06</v>
      </c>
      <c r="J15" s="15" t="s">
        <v>464</v>
      </c>
      <c r="K15" s="56">
        <f>I15</f>
        <v>3E-06</v>
      </c>
      <c r="L15" s="92">
        <v>0.3</v>
      </c>
      <c r="M15" s="111">
        <f>L15/K15</f>
        <v>100000</v>
      </c>
      <c r="N15" s="49">
        <f t="shared" si="0"/>
        <v>18.765468456188874</v>
      </c>
      <c r="O15" s="59">
        <f>K15</f>
        <v>3E-06</v>
      </c>
      <c r="P15" s="57">
        <v>0.3</v>
      </c>
      <c r="Q15" s="56">
        <f>P15/O15</f>
        <v>100000</v>
      </c>
      <c r="R15" s="49">
        <f t="shared" si="1"/>
        <v>18.765606572139184</v>
      </c>
      <c r="S15" s="54"/>
      <c r="U15" s="31">
        <f>GAMMAINV(0.95,P15,1/Q15)</f>
        <v>1.3723501247077611E-05</v>
      </c>
      <c r="V15" s="31">
        <f>GAMMAINV(0.5,P15,1/Q15)</f>
        <v>7.313113591250785E-07</v>
      </c>
      <c r="W15" s="31">
        <f>BETAINV(0.95,L15,M15)</f>
        <v>1.372344559058547E-05</v>
      </c>
      <c r="X15" s="31">
        <f>BETAINV(0.5,L15,M15)</f>
        <v>7.313137757591903E-07</v>
      </c>
      <c r="Y15" s="119">
        <v>39114</v>
      </c>
    </row>
    <row r="16" spans="1:25" ht="25.5" customHeight="1">
      <c r="A16" s="14" t="s">
        <v>344</v>
      </c>
      <c r="B16" s="14" t="s">
        <v>345</v>
      </c>
      <c r="C16" s="58" t="s">
        <v>336</v>
      </c>
      <c r="D16" s="52">
        <v>76</v>
      </c>
      <c r="E16" s="52">
        <v>80117</v>
      </c>
      <c r="F16" s="52" t="s">
        <v>562</v>
      </c>
      <c r="G16" s="52">
        <v>2756</v>
      </c>
      <c r="H16" s="56">
        <f aca="true" t="shared" si="2" ref="H16:H34">D16/E16</f>
        <v>0.0009486126539935345</v>
      </c>
      <c r="I16" s="31">
        <f>(D16+0.5)/(E16+1)</f>
        <v>0.0009548416086272748</v>
      </c>
      <c r="J16" s="3" t="s">
        <v>355</v>
      </c>
      <c r="K16" s="31">
        <v>0.00111</v>
      </c>
      <c r="L16" s="91">
        <v>1.005</v>
      </c>
      <c r="M16" s="111">
        <f>L16*(1-K16)/K16</f>
        <v>904.4004054054053</v>
      </c>
      <c r="N16" s="49">
        <f t="shared" si="0"/>
        <v>4.300319064560172</v>
      </c>
      <c r="O16" s="51">
        <v>0.0012</v>
      </c>
      <c r="P16" s="49">
        <v>1</v>
      </c>
      <c r="Q16" s="31">
        <f>P16*(1-O16)/O16</f>
        <v>832.3333333333334</v>
      </c>
      <c r="R16" s="49">
        <f t="shared" si="1"/>
        <v>4.315958353751451</v>
      </c>
      <c r="U16" s="31">
        <f>BETAINV(0.95,P16,Q16)</f>
        <v>0.0035927295684814453</v>
      </c>
      <c r="V16" s="31">
        <f>BETAINV(0.5,P16,Q16)</f>
        <v>0.0008324291557073593</v>
      </c>
      <c r="W16" s="31">
        <f>BETAINV(0.95,L16,M16)</f>
        <v>0.0033175647258758545</v>
      </c>
      <c r="X16" s="31">
        <f>BETAINV(0.5,L16,M16)</f>
        <v>0.0007714694365859032</v>
      </c>
      <c r="Y16" s="119">
        <v>39114</v>
      </c>
    </row>
    <row r="17" spans="1:25" ht="25.5" customHeight="1">
      <c r="A17" s="14" t="s">
        <v>346</v>
      </c>
      <c r="B17" s="14" t="s">
        <v>347</v>
      </c>
      <c r="C17" s="58" t="s">
        <v>336</v>
      </c>
      <c r="D17" s="52">
        <v>20</v>
      </c>
      <c r="E17" s="52">
        <f>G17*5*8760</f>
        <v>120712800</v>
      </c>
      <c r="F17" s="52" t="s">
        <v>561</v>
      </c>
      <c r="G17" s="52">
        <v>2756</v>
      </c>
      <c r="H17" s="56">
        <f t="shared" si="2"/>
        <v>1.656825125421662E-07</v>
      </c>
      <c r="I17" s="31">
        <f>(D17+0.5)/E17</f>
        <v>1.6982457535572035E-07</v>
      </c>
      <c r="J17" s="3" t="s">
        <v>461</v>
      </c>
      <c r="K17" s="31">
        <v>1.82E-07</v>
      </c>
      <c r="L17" s="91">
        <v>0.3</v>
      </c>
      <c r="M17" s="111">
        <f aca="true" t="shared" si="3" ref="M17:M23">L17/K17</f>
        <v>1648351.6483516484</v>
      </c>
      <c r="N17" s="49">
        <f t="shared" si="0"/>
        <v>18.765606572139173</v>
      </c>
      <c r="O17" s="51">
        <v>2E-07</v>
      </c>
      <c r="P17" s="49">
        <v>0.3</v>
      </c>
      <c r="Q17" s="31">
        <f aca="true" t="shared" si="4" ref="Q17:Q23">P17/O17</f>
        <v>1500000</v>
      </c>
      <c r="R17" s="49">
        <f t="shared" si="1"/>
        <v>18.76560657213918</v>
      </c>
      <c r="U17" s="31">
        <f aca="true" t="shared" si="5" ref="U17:U23">GAMMAINV(0.95,P17,1/Q17)</f>
        <v>9.149000831385074E-07</v>
      </c>
      <c r="V17" s="31">
        <f aca="true" t="shared" si="6" ref="V17:V23">GAMMAINV(0.5,P17,1/Q17)</f>
        <v>4.875409060833857E-08</v>
      </c>
      <c r="W17" s="31">
        <f aca="true" t="shared" si="7" ref="W17:W25">GAMMAINV(0.95,L17,1/M17)</f>
        <v>8.325590756560414E-07</v>
      </c>
      <c r="X17" s="31">
        <f aca="true" t="shared" si="8" ref="X17:X25">GAMMAINV(0.5,L17,1/M17)</f>
        <v>4.43662224535881E-08</v>
      </c>
      <c r="Y17" s="119">
        <v>39114</v>
      </c>
    </row>
    <row r="18" spans="1:25" ht="25.5" customHeight="1">
      <c r="A18" s="14" t="s">
        <v>105</v>
      </c>
      <c r="B18" s="14" t="s">
        <v>106</v>
      </c>
      <c r="C18" s="58" t="s">
        <v>336</v>
      </c>
      <c r="D18" s="52">
        <v>2</v>
      </c>
      <c r="E18" s="52">
        <f>G18*8*8760</f>
        <v>194191680</v>
      </c>
      <c r="F18" s="52" t="s">
        <v>561</v>
      </c>
      <c r="G18" s="52">
        <v>2771</v>
      </c>
      <c r="H18" s="56">
        <f t="shared" si="2"/>
        <v>1.0299102412626535E-08</v>
      </c>
      <c r="I18" s="31">
        <f>(D18+0.5)/E18</f>
        <v>1.2873878015783168E-08</v>
      </c>
      <c r="J18" s="3" t="s">
        <v>463</v>
      </c>
      <c r="K18" s="31">
        <f>I18</f>
        <v>1.2873878015783168E-08</v>
      </c>
      <c r="L18" s="91">
        <v>0.5</v>
      </c>
      <c r="M18" s="111">
        <f t="shared" si="3"/>
        <v>38838336</v>
      </c>
      <c r="N18" s="49">
        <f>W18/X18</f>
        <v>8.443947193457868</v>
      </c>
      <c r="O18" s="51">
        <v>1.2E-08</v>
      </c>
      <c r="P18" s="49">
        <v>0.5</v>
      </c>
      <c r="Q18" s="31">
        <f t="shared" si="4"/>
        <v>41666666.666666664</v>
      </c>
      <c r="R18" s="49">
        <f>U18/V18</f>
        <v>8.443947193457864</v>
      </c>
      <c r="S18" s="14" t="s">
        <v>30</v>
      </c>
      <c r="U18" s="31">
        <f t="shared" si="5"/>
        <v>4.6097509793877037E-08</v>
      </c>
      <c r="V18" s="31">
        <f t="shared" si="6"/>
        <v>5.459237100581598E-09</v>
      </c>
      <c r="W18" s="31">
        <f t="shared" si="7"/>
        <v>4.945447649314525E-08</v>
      </c>
      <c r="X18" s="31">
        <f t="shared" si="8"/>
        <v>5.856796041010439E-09</v>
      </c>
      <c r="Y18" s="119">
        <v>39114</v>
      </c>
    </row>
    <row r="19" spans="1:25" ht="25.5" customHeight="1">
      <c r="A19" s="14" t="s">
        <v>108</v>
      </c>
      <c r="B19" s="14" t="s">
        <v>107</v>
      </c>
      <c r="C19" s="15" t="s">
        <v>336</v>
      </c>
      <c r="D19" s="52"/>
      <c r="E19" s="52"/>
      <c r="F19" s="52" t="s">
        <v>561</v>
      </c>
      <c r="G19" s="52"/>
      <c r="H19" s="56"/>
      <c r="J19" s="3" t="s">
        <v>521</v>
      </c>
      <c r="K19" s="31">
        <f>K18*0.07</f>
        <v>9.011714611048218E-10</v>
      </c>
      <c r="L19" s="91">
        <v>0.3</v>
      </c>
      <c r="M19" s="111">
        <f t="shared" si="3"/>
        <v>332900022.85714287</v>
      </c>
      <c r="N19" s="49">
        <f>W19/X19</f>
        <v>18.765606572139177</v>
      </c>
      <c r="O19" s="51">
        <v>9E-10</v>
      </c>
      <c r="P19" s="49">
        <v>0.3</v>
      </c>
      <c r="Q19" s="31">
        <f t="shared" si="4"/>
        <v>333333333.3333333</v>
      </c>
      <c r="R19" s="49">
        <f>U19/V19</f>
        <v>18.765606572139184</v>
      </c>
      <c r="S19" s="14" t="s">
        <v>522</v>
      </c>
      <c r="U19" s="31">
        <f t="shared" si="5"/>
        <v>4.117050374123283E-09</v>
      </c>
      <c r="V19" s="31">
        <f t="shared" si="6"/>
        <v>2.1939340773752355E-10</v>
      </c>
      <c r="W19" s="31">
        <f t="shared" si="7"/>
        <v>4.122409223434257E-09</v>
      </c>
      <c r="X19" s="31">
        <f t="shared" si="8"/>
        <v>2.1967897534176667E-10</v>
      </c>
      <c r="Y19" s="119">
        <v>39114</v>
      </c>
    </row>
    <row r="20" spans="1:25" ht="25.5" customHeight="1">
      <c r="A20" s="14" t="s">
        <v>109</v>
      </c>
      <c r="B20" s="14" t="s">
        <v>110</v>
      </c>
      <c r="C20" s="58" t="s">
        <v>336</v>
      </c>
      <c r="D20" s="52">
        <v>49</v>
      </c>
      <c r="E20" s="52">
        <f>G20*8*8760</f>
        <v>194191680</v>
      </c>
      <c r="F20" s="52" t="s">
        <v>561</v>
      </c>
      <c r="G20" s="52">
        <v>2771</v>
      </c>
      <c r="H20" s="56">
        <f>D20/E20</f>
        <v>2.523280091093501E-07</v>
      </c>
      <c r="I20" s="31">
        <f>(D20+0.5)/E20</f>
        <v>2.549027847125067E-07</v>
      </c>
      <c r="J20" s="3" t="s">
        <v>348</v>
      </c>
      <c r="K20" s="31">
        <v>2.42E-07</v>
      </c>
      <c r="L20" s="91">
        <v>0.661</v>
      </c>
      <c r="M20" s="111">
        <f t="shared" si="3"/>
        <v>2731404.958677686</v>
      </c>
      <c r="N20" s="49">
        <f>W20/X20</f>
        <v>6.185505612413239</v>
      </c>
      <c r="O20" s="51">
        <v>2.5E-07</v>
      </c>
      <c r="P20" s="49">
        <v>0.7</v>
      </c>
      <c r="Q20" s="31">
        <f t="shared" si="4"/>
        <v>2800000</v>
      </c>
      <c r="R20" s="49">
        <f>U20/V20</f>
        <v>5.848014813547381</v>
      </c>
      <c r="S20" s="14" t="s">
        <v>30</v>
      </c>
      <c r="U20" s="31">
        <f t="shared" si="5"/>
        <v>8.509357606899379E-07</v>
      </c>
      <c r="V20" s="31">
        <f t="shared" si="6"/>
        <v>1.4550848242016745E-07</v>
      </c>
      <c r="W20" s="31">
        <f t="shared" si="7"/>
        <v>8.409207549875932E-07</v>
      </c>
      <c r="X20" s="31">
        <f t="shared" si="8"/>
        <v>1.3595020483046863E-07</v>
      </c>
      <c r="Y20" s="119">
        <v>39114</v>
      </c>
    </row>
    <row r="21" spans="1:25" ht="25.5" customHeight="1">
      <c r="A21" s="14" t="s">
        <v>111</v>
      </c>
      <c r="B21" s="14" t="s">
        <v>112</v>
      </c>
      <c r="C21" s="15" t="s">
        <v>336</v>
      </c>
      <c r="D21" s="52"/>
      <c r="E21" s="52"/>
      <c r="F21" s="52" t="s">
        <v>561</v>
      </c>
      <c r="G21" s="52"/>
      <c r="H21" s="56"/>
      <c r="J21" s="3" t="s">
        <v>470</v>
      </c>
      <c r="K21" s="31">
        <f>K20*0.02</f>
        <v>4.840000000000001E-09</v>
      </c>
      <c r="L21" s="91">
        <v>0.3</v>
      </c>
      <c r="M21" s="111">
        <f t="shared" si="3"/>
        <v>61983471.07438015</v>
      </c>
      <c r="N21" s="49">
        <f>W21/X21</f>
        <v>18.76560657213917</v>
      </c>
      <c r="O21" s="51">
        <v>5E-09</v>
      </c>
      <c r="P21" s="49">
        <v>0.3</v>
      </c>
      <c r="Q21" s="31">
        <f t="shared" si="4"/>
        <v>60000000</v>
      </c>
      <c r="R21" s="49">
        <f>U21/V21</f>
        <v>18.765606572139173</v>
      </c>
      <c r="S21" s="14" t="s">
        <v>465</v>
      </c>
      <c r="U21" s="31">
        <f t="shared" si="5"/>
        <v>2.2872502078462676E-08</v>
      </c>
      <c r="V21" s="31">
        <f t="shared" si="6"/>
        <v>1.2188522652084642E-09</v>
      </c>
      <c r="W21" s="31">
        <f t="shared" si="7"/>
        <v>2.2140582011951872E-08</v>
      </c>
      <c r="X21" s="31">
        <f t="shared" si="8"/>
        <v>1.1798489927217936E-09</v>
      </c>
      <c r="Y21" s="119">
        <v>39114</v>
      </c>
    </row>
    <row r="22" spans="1:25" ht="25.5" customHeight="1">
      <c r="A22" s="54" t="s">
        <v>97</v>
      </c>
      <c r="B22" s="54" t="s">
        <v>98</v>
      </c>
      <c r="C22" s="58" t="s">
        <v>336</v>
      </c>
      <c r="D22" s="60">
        <v>27</v>
      </c>
      <c r="E22" s="60">
        <f>G22*5*8760</f>
        <v>15899400</v>
      </c>
      <c r="F22" s="60" t="s">
        <v>561</v>
      </c>
      <c r="G22" s="60">
        <v>363</v>
      </c>
      <c r="H22" s="56">
        <f t="shared" si="2"/>
        <v>1.6981772897090456E-06</v>
      </c>
      <c r="I22" s="56">
        <f>(D22+0.5)/E22</f>
        <v>1.7296250172962501E-06</v>
      </c>
      <c r="J22" s="3" t="s">
        <v>348</v>
      </c>
      <c r="K22" s="31">
        <v>1.86E-06</v>
      </c>
      <c r="L22" s="91">
        <v>0.427</v>
      </c>
      <c r="M22" s="111">
        <f t="shared" si="3"/>
        <v>229569.89247311826</v>
      </c>
      <c r="N22" s="49">
        <f t="shared" si="0"/>
        <v>10.413537161231408</v>
      </c>
      <c r="O22" s="51">
        <v>2E-06</v>
      </c>
      <c r="P22" s="49">
        <v>0.4</v>
      </c>
      <c r="Q22" s="31">
        <f t="shared" si="4"/>
        <v>200000.00000000003</v>
      </c>
      <c r="R22" s="49">
        <f t="shared" si="1"/>
        <v>11.455634242955389</v>
      </c>
      <c r="U22" s="31">
        <f t="shared" si="5"/>
        <v>8.309810751902111E-06</v>
      </c>
      <c r="V22" s="31">
        <f t="shared" si="6"/>
        <v>7.253907182845163E-07</v>
      </c>
      <c r="W22" s="31">
        <f t="shared" si="7"/>
        <v>7.554636072135354E-06</v>
      </c>
      <c r="X22" s="31">
        <f t="shared" si="8"/>
        <v>7.254630156082347E-07</v>
      </c>
      <c r="Y22" s="119">
        <v>39114</v>
      </c>
    </row>
    <row r="23" spans="1:25" ht="25.5" customHeight="1">
      <c r="A23" s="14" t="s">
        <v>99</v>
      </c>
      <c r="B23" s="14" t="s">
        <v>100</v>
      </c>
      <c r="C23" s="58" t="s">
        <v>336</v>
      </c>
      <c r="D23" s="52">
        <v>80</v>
      </c>
      <c r="E23" s="60">
        <f>G23*5*8760</f>
        <v>17169600</v>
      </c>
      <c r="F23" s="60" t="s">
        <v>561</v>
      </c>
      <c r="G23" s="52">
        <v>392</v>
      </c>
      <c r="H23" s="56">
        <f t="shared" si="2"/>
        <v>4.659398005777653E-06</v>
      </c>
      <c r="I23" s="31">
        <f>(D23+0.5)/E23</f>
        <v>4.6885192433137636E-06</v>
      </c>
      <c r="J23" s="3" t="s">
        <v>348</v>
      </c>
      <c r="K23" s="31">
        <v>5.08E-06</v>
      </c>
      <c r="L23" s="91">
        <v>1.585</v>
      </c>
      <c r="M23" s="111">
        <f t="shared" si="3"/>
        <v>312007.87401574804</v>
      </c>
      <c r="N23" s="49">
        <f t="shared" si="0"/>
        <v>3.1995494895845193</v>
      </c>
      <c r="O23" s="51">
        <v>5E-06</v>
      </c>
      <c r="P23" s="49">
        <v>1.5</v>
      </c>
      <c r="Q23" s="31">
        <f t="shared" si="4"/>
        <v>300000</v>
      </c>
      <c r="R23" s="49">
        <f t="shared" si="1"/>
        <v>3.302964495071347</v>
      </c>
      <c r="U23" s="31">
        <f t="shared" si="5"/>
        <v>1.3024546273249776E-05</v>
      </c>
      <c r="V23" s="31">
        <f t="shared" si="6"/>
        <v>3.943289821215119E-06</v>
      </c>
      <c r="W23" s="31">
        <f t="shared" si="7"/>
        <v>1.299234505294221E-05</v>
      </c>
      <c r="X23" s="31">
        <f t="shared" si="8"/>
        <v>4.060679509798532E-06</v>
      </c>
      <c r="Y23" s="119">
        <v>39114</v>
      </c>
    </row>
    <row r="24" spans="1:25" ht="25.5" customHeight="1">
      <c r="A24" s="14" t="s">
        <v>55</v>
      </c>
      <c r="B24" s="14" t="s">
        <v>58</v>
      </c>
      <c r="C24" s="2" t="s">
        <v>52</v>
      </c>
      <c r="D24" s="49">
        <v>55</v>
      </c>
      <c r="E24" s="52">
        <v>102094</v>
      </c>
      <c r="F24" s="52" t="s">
        <v>562</v>
      </c>
      <c r="G24" s="52"/>
      <c r="H24" s="56">
        <f>D24/E24</f>
        <v>0.0005387192195427743</v>
      </c>
      <c r="I24" s="56">
        <f>(D24+0.5)/E24</f>
        <v>0.0005436166669931632</v>
      </c>
      <c r="J24" s="3" t="s">
        <v>456</v>
      </c>
      <c r="K24" s="56">
        <f>I24</f>
        <v>0.0005436166669931632</v>
      </c>
      <c r="L24" s="91">
        <v>0.5</v>
      </c>
      <c r="M24" s="111">
        <f>L24*(1-K24)/K24</f>
        <v>919.2657657657657</v>
      </c>
      <c r="N24" s="49">
        <f>W24/X24</f>
        <v>8.443947193457868</v>
      </c>
      <c r="O24" s="51">
        <v>0.0005</v>
      </c>
      <c r="P24" s="49">
        <v>0.5</v>
      </c>
      <c r="Q24" s="31">
        <f>P24*(1-O24)/O24</f>
        <v>999.5</v>
      </c>
      <c r="R24" s="49">
        <f>U24/V24</f>
        <v>8.436812978856167</v>
      </c>
      <c r="U24" s="31">
        <f>BETAINV(0.95,P24,Q24)</f>
        <v>0.0019203275442123413</v>
      </c>
      <c r="V24" s="31">
        <f>BETAINV(0.5,P24,Q24)</f>
        <v>0.0002276129089295864</v>
      </c>
      <c r="W24" s="31">
        <f t="shared" si="7"/>
        <v>0.0020894170611747663</v>
      </c>
      <c r="X24" s="31">
        <f t="shared" si="8"/>
        <v>0.0002474455385975871</v>
      </c>
      <c r="Y24" s="119">
        <v>39114</v>
      </c>
    </row>
    <row r="25" spans="1:25" ht="25.5" customHeight="1">
      <c r="A25" s="14" t="s">
        <v>468</v>
      </c>
      <c r="B25" s="14" t="s">
        <v>469</v>
      </c>
      <c r="C25" s="58" t="s">
        <v>336</v>
      </c>
      <c r="D25" s="52">
        <v>3</v>
      </c>
      <c r="E25" s="52">
        <f>G25*5*8760</f>
        <v>7183200</v>
      </c>
      <c r="F25" s="52" t="s">
        <v>561</v>
      </c>
      <c r="G25" s="52">
        <v>164</v>
      </c>
      <c r="H25" s="56">
        <f>D25/E25</f>
        <v>4.17641162712997E-07</v>
      </c>
      <c r="I25" s="31">
        <f>(D25+0.5)/E25</f>
        <v>4.872480231651632E-07</v>
      </c>
      <c r="J25" s="3" t="s">
        <v>348</v>
      </c>
      <c r="K25" s="56">
        <v>4.34E-07</v>
      </c>
      <c r="L25" s="91">
        <v>0.502</v>
      </c>
      <c r="M25" s="111">
        <f>L25/K25</f>
        <v>1156682.0276497696</v>
      </c>
      <c r="N25" s="49">
        <f>W25/X25</f>
        <v>8.402217943560577</v>
      </c>
      <c r="O25" s="51">
        <v>4E-07</v>
      </c>
      <c r="P25" s="49">
        <v>0.5</v>
      </c>
      <c r="Q25" s="31">
        <f>P25/O25</f>
        <v>1250000</v>
      </c>
      <c r="R25" s="49">
        <f>U25/V25</f>
        <v>8.443947193457864</v>
      </c>
      <c r="U25" s="31">
        <f>GAMMAINV(0.95,P25,1/Q25)</f>
        <v>1.536583659795901E-06</v>
      </c>
      <c r="V25" s="31">
        <f>GAMMAINV(0.5,P25,1/Q25)</f>
        <v>1.8197457001938656E-07</v>
      </c>
      <c r="W25" s="31">
        <f t="shared" si="7"/>
        <v>1.6648234580060227E-06</v>
      </c>
      <c r="X25" s="31">
        <f t="shared" si="8"/>
        <v>1.9814095149506758E-07</v>
      </c>
      <c r="Y25" s="119">
        <v>39114</v>
      </c>
    </row>
    <row r="26" spans="1:25" ht="25.5" customHeight="1">
      <c r="A26" s="14" t="s">
        <v>349</v>
      </c>
      <c r="B26" s="14" t="s">
        <v>350</v>
      </c>
      <c r="C26" s="58" t="s">
        <v>336</v>
      </c>
      <c r="D26" s="52">
        <v>83</v>
      </c>
      <c r="E26" s="52">
        <v>50226</v>
      </c>
      <c r="F26" s="52" t="s">
        <v>562</v>
      </c>
      <c r="G26" s="52">
        <v>4022</v>
      </c>
      <c r="H26" s="56">
        <f t="shared" si="2"/>
        <v>0.001652530561860391</v>
      </c>
      <c r="I26" s="31">
        <f>(D26+0.5)/(E26+1)</f>
        <v>0.0016624524658052442</v>
      </c>
      <c r="J26" s="3" t="s">
        <v>355</v>
      </c>
      <c r="K26" s="31">
        <v>0.00255</v>
      </c>
      <c r="L26" s="91">
        <v>0.698</v>
      </c>
      <c r="M26" s="111">
        <f>L26*(1-K26)/K26</f>
        <v>273.02749019607836</v>
      </c>
      <c r="N26" s="49">
        <f t="shared" si="0"/>
        <v>5.84294430822678</v>
      </c>
      <c r="O26" s="51">
        <v>0.0025</v>
      </c>
      <c r="P26" s="49">
        <v>0.7</v>
      </c>
      <c r="Q26" s="31">
        <f>P26*(1-O26)/O26</f>
        <v>279.3</v>
      </c>
      <c r="R26" s="49">
        <f t="shared" si="1"/>
        <v>5.827371647509579</v>
      </c>
      <c r="U26" s="31">
        <f>BETAINV(0.95,P26,Q26)</f>
        <v>0.008498936891555786</v>
      </c>
      <c r="V26" s="31">
        <f>BETAINV(0.5,P26,Q26)</f>
        <v>0.0014584511518478394</v>
      </c>
      <c r="W26" s="31">
        <f>BETAINV(0.95,L26,M26)</f>
        <v>0.008677661418914795</v>
      </c>
      <c r="X26" s="31">
        <f>BETAINV(0.5,L26,M26)</f>
        <v>0.0014851521700620651</v>
      </c>
      <c r="Y26" s="119">
        <v>39114</v>
      </c>
    </row>
    <row r="27" spans="1:25" ht="25.5" customHeight="1">
      <c r="A27" s="14" t="s">
        <v>351</v>
      </c>
      <c r="B27" s="14" t="s">
        <v>352</v>
      </c>
      <c r="C27" s="58" t="s">
        <v>336</v>
      </c>
      <c r="D27" s="52">
        <v>28</v>
      </c>
      <c r="E27" s="52">
        <f>G27*5*8760</f>
        <v>176163600</v>
      </c>
      <c r="F27" s="52" t="s">
        <v>561</v>
      </c>
      <c r="G27" s="52">
        <v>4022</v>
      </c>
      <c r="H27" s="56">
        <f t="shared" si="2"/>
        <v>1.5894316419510047E-07</v>
      </c>
      <c r="I27" s="31">
        <f>(D27+0.5)/E27</f>
        <v>1.6178143498429868E-07</v>
      </c>
      <c r="J27" s="3" t="s">
        <v>348</v>
      </c>
      <c r="K27" s="31">
        <v>1.71E-07</v>
      </c>
      <c r="L27" s="91">
        <v>1.983</v>
      </c>
      <c r="M27" s="111">
        <f>L27/K27</f>
        <v>11596491.228070175</v>
      </c>
      <c r="N27" s="49">
        <f t="shared" si="0"/>
        <v>2.8386281438785756</v>
      </c>
      <c r="O27" s="51">
        <v>1.5E-07</v>
      </c>
      <c r="P27" s="49">
        <v>2</v>
      </c>
      <c r="Q27" s="31">
        <f>P27/O27</f>
        <v>13333333.333333334</v>
      </c>
      <c r="R27" s="49">
        <f t="shared" si="1"/>
        <v>2.826509962791067</v>
      </c>
      <c r="U27" s="31">
        <f>GAMMAINV(0.95,P27,1/Q27)</f>
        <v>3.5578983888708176E-07</v>
      </c>
      <c r="V27" s="31">
        <f>GAMMAINV(0.5,P27,1/Q27)</f>
        <v>1.2587602505237707E-07</v>
      </c>
      <c r="W27" s="31">
        <f>GAMMAINV(0.95,L27,1/M27)</f>
        <v>4.066982787749808E-07</v>
      </c>
      <c r="X27" s="31">
        <f>GAMMAINV(0.5,L27,1/M27)</f>
        <v>1.432728269294499E-07</v>
      </c>
      <c r="Y27" s="119">
        <v>39114</v>
      </c>
    </row>
    <row r="28" spans="1:25" ht="25.5" customHeight="1">
      <c r="A28" s="14" t="s">
        <v>665</v>
      </c>
      <c r="B28" s="14" t="s">
        <v>353</v>
      </c>
      <c r="C28" s="58" t="s">
        <v>336</v>
      </c>
      <c r="D28" s="52">
        <v>164</v>
      </c>
      <c r="E28" s="52">
        <v>3402465</v>
      </c>
      <c r="F28" s="52" t="s">
        <v>561</v>
      </c>
      <c r="G28" s="52">
        <v>113</v>
      </c>
      <c r="H28" s="56">
        <f t="shared" si="2"/>
        <v>4.820034886472014E-05</v>
      </c>
      <c r="I28" s="31">
        <f>(D28+0.5)/E28</f>
        <v>4.834730114784428E-05</v>
      </c>
      <c r="J28" s="3" t="s">
        <v>348</v>
      </c>
      <c r="K28" s="31">
        <v>9.42E-05</v>
      </c>
      <c r="L28" s="91">
        <v>0.489</v>
      </c>
      <c r="M28" s="111">
        <f>L28/K28</f>
        <v>5191.08280254777</v>
      </c>
      <c r="N28" s="49">
        <f t="shared" si="0"/>
        <v>8.682903418662427</v>
      </c>
      <c r="O28" s="51">
        <v>9E-05</v>
      </c>
      <c r="P28" s="49">
        <v>0.5</v>
      </c>
      <c r="Q28" s="31">
        <f>P28/O28</f>
        <v>5555.555555555556</v>
      </c>
      <c r="R28" s="49">
        <f t="shared" si="1"/>
        <v>8.443947193457866</v>
      </c>
      <c r="U28" s="31">
        <f>GAMMAINV(0.95,P28,1/Q28)</f>
        <v>0.0003457313234540778</v>
      </c>
      <c r="V28" s="31">
        <f>GAMMAINV(0.5,P28,1/Q28)</f>
        <v>4.094427825436198E-05</v>
      </c>
      <c r="W28" s="31">
        <f>GAMMAINV(0.95,L28,1/M28)</f>
        <v>0.00036474164843372297</v>
      </c>
      <c r="X28" s="31">
        <f>GAMMAINV(0.5,L28,1/M28)</f>
        <v>4.200687613889298E-05</v>
      </c>
      <c r="Y28" s="119">
        <v>39114</v>
      </c>
    </row>
    <row r="29" spans="1:25" ht="25.5" customHeight="1">
      <c r="A29" s="14" t="s">
        <v>664</v>
      </c>
      <c r="B29" s="14" t="s">
        <v>354</v>
      </c>
      <c r="C29" s="58" t="s">
        <v>336</v>
      </c>
      <c r="D29" s="52">
        <v>66</v>
      </c>
      <c r="E29" s="52">
        <v>6483</v>
      </c>
      <c r="F29" s="52" t="s">
        <v>562</v>
      </c>
      <c r="G29" s="52">
        <v>113</v>
      </c>
      <c r="H29" s="56">
        <f t="shared" si="2"/>
        <v>0.01018047200370199</v>
      </c>
      <c r="I29" s="31">
        <f>(D29+0.5)/(E29+1)</f>
        <v>0.01025601480567551</v>
      </c>
      <c r="J29" s="3" t="s">
        <v>355</v>
      </c>
      <c r="K29" s="31">
        <v>0.00983</v>
      </c>
      <c r="L29" s="91">
        <v>0.818</v>
      </c>
      <c r="M29" s="111">
        <f>L29*(1-K29)/K29</f>
        <v>82.3966490335707</v>
      </c>
      <c r="N29" s="49">
        <f t="shared" si="0"/>
        <v>5.013076145408635</v>
      </c>
      <c r="O29" s="51">
        <v>0.01</v>
      </c>
      <c r="P29" s="49">
        <v>0.8</v>
      </c>
      <c r="Q29" s="31">
        <f>P29*(1-O29)/O29</f>
        <v>79.2</v>
      </c>
      <c r="R29" s="49">
        <f t="shared" si="1"/>
        <v>5.108435553522027</v>
      </c>
      <c r="U29" s="31">
        <f>BETAINV(0.95,P29,Q29)</f>
        <v>0.03227579593658447</v>
      </c>
      <c r="V29" s="31">
        <f>BETAINV(0.5,P29,Q29)</f>
        <v>0.006318137049674988</v>
      </c>
      <c r="W29" s="31">
        <f>BETAINV(0.95,L29,M29)</f>
        <v>0.03147721290588379</v>
      </c>
      <c r="X29" s="31">
        <f>BETAINV(0.5,L29,M29)</f>
        <v>0.006279021501541138</v>
      </c>
      <c r="Y29" s="119">
        <v>39114</v>
      </c>
    </row>
    <row r="30" spans="1:25" ht="25.5" customHeight="1">
      <c r="A30" s="14" t="s">
        <v>663</v>
      </c>
      <c r="B30" s="14" t="s">
        <v>356</v>
      </c>
      <c r="C30" s="58" t="s">
        <v>336</v>
      </c>
      <c r="D30" s="52">
        <v>5</v>
      </c>
      <c r="E30" s="52">
        <v>2401</v>
      </c>
      <c r="F30" s="52" t="s">
        <v>561</v>
      </c>
      <c r="G30" s="52">
        <v>38</v>
      </c>
      <c r="H30" s="56">
        <f t="shared" si="2"/>
        <v>0.0020824656393169513</v>
      </c>
      <c r="I30" s="31">
        <f>(D30+0.5)/E30</f>
        <v>0.0022907122032486465</v>
      </c>
      <c r="J30" s="3" t="s">
        <v>524</v>
      </c>
      <c r="K30" s="31">
        <f aca="true" t="shared" si="9" ref="K30:K35">I30</f>
        <v>0.0022907122032486465</v>
      </c>
      <c r="L30" s="91">
        <v>5.5</v>
      </c>
      <c r="M30" s="111">
        <f>L30/K30</f>
        <v>2401</v>
      </c>
      <c r="N30" s="49">
        <f t="shared" si="0"/>
        <v>1.9026342623595205</v>
      </c>
      <c r="O30" s="51">
        <v>0.0025</v>
      </c>
      <c r="P30" s="49">
        <v>5</v>
      </c>
      <c r="Q30" s="31">
        <f>P30/O30</f>
        <v>2000</v>
      </c>
      <c r="R30" s="49">
        <f t="shared" si="1"/>
        <v>1.959686857111491</v>
      </c>
      <c r="U30" s="31">
        <f>GAMMAINV(0.95,P30,1/Q30)</f>
        <v>0.0045767595134521884</v>
      </c>
      <c r="V30" s="31">
        <f>GAMMAINV(0.5,P30,1/Q30)</f>
        <v>0.0023354545124613275</v>
      </c>
      <c r="W30" s="31">
        <f>GAMMAINV(0.95,L30,1/M30)</f>
        <v>0.004097279794397611</v>
      </c>
      <c r="X30" s="31">
        <f>GAMMAINV(0.5,L30,1/M30)</f>
        <v>0.0021534773526660014</v>
      </c>
      <c r="Y30" s="119">
        <v>39114</v>
      </c>
    </row>
    <row r="31" spans="1:25" ht="25.5" customHeight="1">
      <c r="A31" s="14" t="s">
        <v>671</v>
      </c>
      <c r="B31" s="14" t="s">
        <v>357</v>
      </c>
      <c r="C31" s="58" t="s">
        <v>336</v>
      </c>
      <c r="D31" s="49">
        <v>13.7</v>
      </c>
      <c r="E31" s="52">
        <v>16427</v>
      </c>
      <c r="F31" s="52" t="s">
        <v>561</v>
      </c>
      <c r="G31" s="52">
        <v>21</v>
      </c>
      <c r="H31" s="56">
        <f t="shared" si="2"/>
        <v>0.0008339928167042064</v>
      </c>
      <c r="I31" s="31">
        <f>(D31+0.5)/E31</f>
        <v>0.000864430510744506</v>
      </c>
      <c r="J31" s="3" t="s">
        <v>463</v>
      </c>
      <c r="K31" s="31">
        <f t="shared" si="9"/>
        <v>0.000864430510744506</v>
      </c>
      <c r="L31" s="91">
        <v>0.5</v>
      </c>
      <c r="M31" s="111">
        <f>L31/K31</f>
        <v>578.4154929577466</v>
      </c>
      <c r="N31" s="49">
        <f t="shared" si="0"/>
        <v>8.443947193457866</v>
      </c>
      <c r="O31" s="51">
        <v>0.0009</v>
      </c>
      <c r="P31" s="49">
        <v>0.5</v>
      </c>
      <c r="Q31" s="31">
        <f>P31/O31</f>
        <v>555.5555555555555</v>
      </c>
      <c r="R31" s="49">
        <f t="shared" si="1"/>
        <v>8.443947193457864</v>
      </c>
      <c r="U31" s="31">
        <f>GAMMAINV(0.95,P31,1/Q31)</f>
        <v>0.0034573132345407775</v>
      </c>
      <c r="V31" s="31">
        <f>GAMMAINV(0.5,P31,1/Q31)</f>
        <v>0.00040944278254361984</v>
      </c>
      <c r="W31" s="31">
        <f>GAMMAINV(0.95,L31,1/M31)</f>
        <v>0.0033206744945975825</v>
      </c>
      <c r="X31" s="31">
        <f>GAMMAINV(0.5,L31,1/M31)</f>
        <v>0.0003932609262609255</v>
      </c>
      <c r="Y31" s="119">
        <v>39114</v>
      </c>
    </row>
    <row r="32" spans="1:25" ht="25.5" customHeight="1">
      <c r="A32" s="14" t="s">
        <v>662</v>
      </c>
      <c r="B32" s="14" t="s">
        <v>358</v>
      </c>
      <c r="C32" s="58" t="s">
        <v>336</v>
      </c>
      <c r="D32" s="52">
        <v>10</v>
      </c>
      <c r="E32" s="52">
        <v>5470</v>
      </c>
      <c r="F32" s="52" t="s">
        <v>562</v>
      </c>
      <c r="G32" s="52">
        <v>59</v>
      </c>
      <c r="H32" s="56">
        <f t="shared" si="2"/>
        <v>0.0018281535648994515</v>
      </c>
      <c r="I32" s="31">
        <f>(D32+0.5)/(E32+1)</f>
        <v>0.001919210382014257</v>
      </c>
      <c r="J32" s="3" t="s">
        <v>456</v>
      </c>
      <c r="K32" s="31">
        <f t="shared" si="9"/>
        <v>0.001919210382014257</v>
      </c>
      <c r="L32" s="91">
        <v>0.5</v>
      </c>
      <c r="M32" s="111">
        <f>L32*(1-K32)/K32</f>
        <v>260.0238095238095</v>
      </c>
      <c r="N32" s="49">
        <f t="shared" si="0"/>
        <v>8.416463077250478</v>
      </c>
      <c r="O32" s="51">
        <v>0.002</v>
      </c>
      <c r="P32" s="49">
        <v>0.5</v>
      </c>
      <c r="Q32" s="31">
        <f>P32*(1-O32)/O32</f>
        <v>249.5</v>
      </c>
      <c r="R32" s="49">
        <f t="shared" si="1"/>
        <v>8.415347232148326</v>
      </c>
      <c r="U32" s="31">
        <f>BETAINV(0.95,P32,Q32)</f>
        <v>0.007676422595977783</v>
      </c>
      <c r="V32" s="31">
        <f>BETAINV(0.5,P32,Q32)</f>
        <v>0.0009121932089328766</v>
      </c>
      <c r="W32" s="31">
        <f>BETAINV(0.95,L32,M32)</f>
        <v>0.007366567850112915</v>
      </c>
      <c r="X32" s="31">
        <f>BETAINV(0.5,L32,M32)</f>
        <v>0.0008752569556236267</v>
      </c>
      <c r="Y32" s="119">
        <v>39114</v>
      </c>
    </row>
    <row r="33" spans="1:25" ht="25.5" customHeight="1">
      <c r="A33" s="54" t="s">
        <v>359</v>
      </c>
      <c r="B33" s="54" t="s">
        <v>360</v>
      </c>
      <c r="C33" s="58" t="s">
        <v>336</v>
      </c>
      <c r="D33" s="60">
        <v>2</v>
      </c>
      <c r="E33" s="60">
        <v>24090</v>
      </c>
      <c r="F33" s="60" t="s">
        <v>562</v>
      </c>
      <c r="G33" s="60">
        <v>729</v>
      </c>
      <c r="H33" s="56">
        <f t="shared" si="2"/>
        <v>8.302200083022001E-05</v>
      </c>
      <c r="I33" s="31">
        <f>(D33+0.5)/(E33+1)</f>
        <v>0.00010377319330870449</v>
      </c>
      <c r="J33" s="3" t="s">
        <v>456</v>
      </c>
      <c r="K33" s="31">
        <f t="shared" si="9"/>
        <v>0.00010377319330870449</v>
      </c>
      <c r="L33" s="92">
        <v>0.5</v>
      </c>
      <c r="M33" s="111">
        <f>L33*(1-K33)/K33</f>
        <v>4817.700000000001</v>
      </c>
      <c r="N33" s="49">
        <f t="shared" si="0"/>
        <v>8.442461031692416</v>
      </c>
      <c r="O33" s="59">
        <v>0.0001</v>
      </c>
      <c r="P33" s="57">
        <v>0.5</v>
      </c>
      <c r="Q33" s="31">
        <f>P33*(1-O33)/O33</f>
        <v>4999.5</v>
      </c>
      <c r="R33" s="49">
        <f t="shared" si="1"/>
        <v>8.44251695719699</v>
      </c>
      <c r="S33" s="54"/>
      <c r="U33" s="31">
        <f>BETAINV(0.95,P33,Q33)</f>
        <v>0.0003841295838356018</v>
      </c>
      <c r="V33" s="31">
        <f>BETAINV(0.5,P33,Q33)</f>
        <v>4.549941513687372E-05</v>
      </c>
      <c r="W33" s="31">
        <f>BETAINV(0.95,L33,M33)</f>
        <v>0.0003986228257417679</v>
      </c>
      <c r="X33" s="31">
        <f>BETAINV(0.5,L33,M33)</f>
        <v>4.7216424718499184E-05</v>
      </c>
      <c r="Y33" s="119">
        <v>39114</v>
      </c>
    </row>
    <row r="34" spans="1:25" ht="25.5" customHeight="1">
      <c r="A34" s="54" t="s">
        <v>361</v>
      </c>
      <c r="B34" s="54" t="s">
        <v>362</v>
      </c>
      <c r="C34" s="58" t="s">
        <v>336</v>
      </c>
      <c r="D34" s="60">
        <v>0</v>
      </c>
      <c r="E34" s="60">
        <v>38550</v>
      </c>
      <c r="F34" s="60" t="s">
        <v>562</v>
      </c>
      <c r="G34" s="60">
        <v>729</v>
      </c>
      <c r="H34" s="56">
        <f t="shared" si="2"/>
        <v>0</v>
      </c>
      <c r="I34" s="31">
        <f>(D34+0.5)/(E34+1)</f>
        <v>1.2969832170371716E-05</v>
      </c>
      <c r="J34" s="3" t="s">
        <v>456</v>
      </c>
      <c r="K34" s="56">
        <f t="shared" si="9"/>
        <v>1.2969832170371716E-05</v>
      </c>
      <c r="L34" s="92">
        <v>0.5</v>
      </c>
      <c r="M34" s="111">
        <f>L34*(1-K34)/K34</f>
        <v>38550.5</v>
      </c>
      <c r="N34" s="49">
        <f t="shared" si="0"/>
        <v>8.443758292599918</v>
      </c>
      <c r="O34" s="59">
        <v>1.2E-05</v>
      </c>
      <c r="P34" s="57">
        <v>0.5</v>
      </c>
      <c r="Q34" s="31">
        <f>P34*(1-O34)/O34</f>
        <v>41666.166666666664</v>
      </c>
      <c r="R34" s="49">
        <f t="shared" si="1"/>
        <v>8.443754964521993</v>
      </c>
      <c r="S34" s="14" t="s">
        <v>448</v>
      </c>
      <c r="U34" s="31">
        <f>BETAINV(0.95,P34,Q34)</f>
        <v>4.609720781445503E-05</v>
      </c>
      <c r="V34" s="31">
        <f>BETAINV(0.5,P34,Q34)</f>
        <v>5.459325620904565E-06</v>
      </c>
      <c r="W34" s="31">
        <f>BETAINV(0.95,L34,M34)</f>
        <v>4.98227309435606E-05</v>
      </c>
      <c r="X34" s="31">
        <f>BETAINV(0.5,L34,M34)</f>
        <v>5.900539690628648E-06</v>
      </c>
      <c r="Y34" s="119">
        <v>39114</v>
      </c>
    </row>
    <row r="35" spans="1:25" ht="25.5" customHeight="1">
      <c r="A35" s="54" t="s">
        <v>113</v>
      </c>
      <c r="B35" s="54" t="s">
        <v>114</v>
      </c>
      <c r="C35" s="58" t="s">
        <v>336</v>
      </c>
      <c r="D35" s="60">
        <v>1</v>
      </c>
      <c r="E35" s="52">
        <f>G35*8*8760</f>
        <v>51088320</v>
      </c>
      <c r="F35" s="52" t="s">
        <v>561</v>
      </c>
      <c r="G35" s="60">
        <v>729</v>
      </c>
      <c r="H35" s="56">
        <f>D35/E35</f>
        <v>1.9573945668990486E-08</v>
      </c>
      <c r="I35" s="31">
        <f>(D35+0.5)/E35</f>
        <v>2.936091850348573E-08</v>
      </c>
      <c r="J35" s="3" t="s">
        <v>463</v>
      </c>
      <c r="K35" s="56">
        <f t="shared" si="9"/>
        <v>2.936091850348573E-08</v>
      </c>
      <c r="L35" s="92">
        <v>0.5</v>
      </c>
      <c r="M35" s="111">
        <f>L35/K35</f>
        <v>17029440</v>
      </c>
      <c r="N35" s="49">
        <f>W35/X35</f>
        <v>8.443947193457868</v>
      </c>
      <c r="O35" s="51">
        <v>3E-08</v>
      </c>
      <c r="P35" s="49">
        <v>0.5</v>
      </c>
      <c r="Q35" s="31">
        <f>P35/O35</f>
        <v>16666666.666666668</v>
      </c>
      <c r="R35" s="49">
        <f>U35/V35</f>
        <v>8.443947193457866</v>
      </c>
      <c r="S35" s="14" t="s">
        <v>30</v>
      </c>
      <c r="U35" s="31">
        <f>GAMMAINV(0.95,P35,1/Q35)</f>
        <v>1.1524377448469258E-07</v>
      </c>
      <c r="V35" s="31">
        <f>GAMMAINV(0.5,P35,1/Q35)</f>
        <v>1.3648092751453991E-08</v>
      </c>
      <c r="W35" s="31">
        <f>GAMMAINV(0.95,L35,1/M35)</f>
        <v>1.1278876902263825E-07</v>
      </c>
      <c r="X35" s="31">
        <f>GAMMAINV(0.5,L35,1/M35)</f>
        <v>1.3357351300115166E-08</v>
      </c>
      <c r="Y35" s="119">
        <v>39114</v>
      </c>
    </row>
    <row r="36" spans="1:25" ht="25.5" customHeight="1">
      <c r="A36" s="54" t="s">
        <v>115</v>
      </c>
      <c r="B36" s="54" t="s">
        <v>116</v>
      </c>
      <c r="C36" s="15" t="s">
        <v>336</v>
      </c>
      <c r="D36" s="60"/>
      <c r="E36" s="60"/>
      <c r="F36" s="60" t="s">
        <v>561</v>
      </c>
      <c r="G36" s="60"/>
      <c r="H36" s="56"/>
      <c r="J36" s="3" t="s">
        <v>521</v>
      </c>
      <c r="K36" s="56">
        <f>K35*0.07</f>
        <v>2.0552642952440013E-09</v>
      </c>
      <c r="L36" s="92">
        <v>0.3</v>
      </c>
      <c r="M36" s="111">
        <f>L36/K36</f>
        <v>145966628.57142854</v>
      </c>
      <c r="N36" s="49">
        <f>W36/X36</f>
        <v>18.765606572139173</v>
      </c>
      <c r="O36" s="51">
        <v>2E-09</v>
      </c>
      <c r="P36" s="49">
        <v>0.3</v>
      </c>
      <c r="Q36" s="31">
        <f>P36/O36</f>
        <v>150000000</v>
      </c>
      <c r="R36" s="49">
        <f>U36/V36</f>
        <v>18.765606572139173</v>
      </c>
      <c r="S36" s="14" t="s">
        <v>522</v>
      </c>
      <c r="U36" s="31">
        <f>GAMMAINV(0.95,P36,1/Q36)</f>
        <v>9.14900083138507E-09</v>
      </c>
      <c r="V36" s="31">
        <f>GAMMAINV(0.5,P36,1/Q36)</f>
        <v>4.875409060833857E-10</v>
      </c>
      <c r="W36" s="31">
        <f>GAMMAINV(0.95,L36,1/M36)</f>
        <v>9.401807372951712E-09</v>
      </c>
      <c r="X36" s="31">
        <f>GAMMAINV(0.5,L36,1/M36)</f>
        <v>5.010127083720459E-10</v>
      </c>
      <c r="Y36" s="119">
        <v>39114</v>
      </c>
    </row>
    <row r="37" spans="1:25" ht="25.5" customHeight="1">
      <c r="A37" s="54" t="s">
        <v>117</v>
      </c>
      <c r="B37" s="54" t="s">
        <v>118</v>
      </c>
      <c r="C37" s="58" t="s">
        <v>336</v>
      </c>
      <c r="D37" s="60">
        <v>23</v>
      </c>
      <c r="E37" s="52">
        <f>G37*8*8760</f>
        <v>51088320</v>
      </c>
      <c r="F37" s="52" t="s">
        <v>561</v>
      </c>
      <c r="G37" s="60">
        <v>729</v>
      </c>
      <c r="H37" s="56">
        <f>D37/E37</f>
        <v>4.5020075038678115E-07</v>
      </c>
      <c r="I37" s="31">
        <f>(D37+0.5)/E37</f>
        <v>4.5998772322127643E-07</v>
      </c>
      <c r="J37" s="3" t="s">
        <v>461</v>
      </c>
      <c r="K37" s="56">
        <v>1.48E-06</v>
      </c>
      <c r="L37" s="92">
        <v>0.3</v>
      </c>
      <c r="M37" s="111">
        <f>L37/K37</f>
        <v>202702.7027027027</v>
      </c>
      <c r="N37" s="49">
        <f>W37/X37</f>
        <v>18.765606572139177</v>
      </c>
      <c r="O37" s="51">
        <v>1.5E-06</v>
      </c>
      <c r="P37" s="49">
        <v>0.3</v>
      </c>
      <c r="Q37" s="31">
        <f>P37/O37</f>
        <v>200000</v>
      </c>
      <c r="R37" s="49">
        <f>U37/V37</f>
        <v>18.765606572139184</v>
      </c>
      <c r="S37" s="14" t="s">
        <v>30</v>
      </c>
      <c r="U37" s="31">
        <f>GAMMAINV(0.95,P37,1/Q37)</f>
        <v>6.8617506235388055E-06</v>
      </c>
      <c r="V37" s="31">
        <f>GAMMAINV(0.5,P37,1/Q37)</f>
        <v>3.6565567956253925E-07</v>
      </c>
      <c r="W37" s="31">
        <f>GAMMAINV(0.95,L37,1/M37)</f>
        <v>6.7702606152249535E-06</v>
      </c>
      <c r="X37" s="31">
        <f>GAMMAINV(0.5,L37,1/M37)</f>
        <v>3.6078027050170546E-07</v>
      </c>
      <c r="Y37" s="119">
        <v>39114</v>
      </c>
    </row>
    <row r="38" spans="1:25" ht="25.5" customHeight="1">
      <c r="A38" s="54" t="s">
        <v>119</v>
      </c>
      <c r="B38" s="54" t="s">
        <v>120</v>
      </c>
      <c r="C38" s="15" t="s">
        <v>336</v>
      </c>
      <c r="D38" s="60"/>
      <c r="E38" s="60"/>
      <c r="F38" s="60" t="s">
        <v>561</v>
      </c>
      <c r="G38" s="60"/>
      <c r="H38" s="56"/>
      <c r="I38" s="56"/>
      <c r="J38" s="3" t="s">
        <v>470</v>
      </c>
      <c r="K38" s="56">
        <f>K37*0.02</f>
        <v>2.96E-08</v>
      </c>
      <c r="L38" s="92">
        <v>0.3</v>
      </c>
      <c r="M38" s="111">
        <f>L38/K38</f>
        <v>10135135.135135135</v>
      </c>
      <c r="N38" s="49">
        <f t="shared" si="0"/>
        <v>18.76560657213917</v>
      </c>
      <c r="O38" s="59">
        <v>3E-08</v>
      </c>
      <c r="P38" s="57">
        <v>0.3</v>
      </c>
      <c r="Q38" s="56">
        <f>P38/O38</f>
        <v>10000000</v>
      </c>
      <c r="R38" s="49">
        <f t="shared" si="1"/>
        <v>18.76560657213917</v>
      </c>
      <c r="S38" s="14" t="s">
        <v>465</v>
      </c>
      <c r="U38" s="31">
        <f>GAMMAINV(0.95,P38,1/Q38)</f>
        <v>1.3723501247077603E-07</v>
      </c>
      <c r="V38" s="31">
        <f>GAMMAINV(0.5,P38,1/Q38)</f>
        <v>7.3131135912507854E-09</v>
      </c>
      <c r="W38" s="31">
        <f>GAMMAINV(0.95,L38,1/M38)</f>
        <v>1.3540521230449904E-07</v>
      </c>
      <c r="X38" s="31">
        <f>GAMMAINV(0.5,L38,1/M38)</f>
        <v>7.215605410034109E-09</v>
      </c>
      <c r="Y38" s="119">
        <v>39114</v>
      </c>
    </row>
    <row r="39" spans="1:25" ht="25.5" customHeight="1">
      <c r="A39" s="14" t="s">
        <v>59</v>
      </c>
      <c r="B39" s="14" t="s">
        <v>60</v>
      </c>
      <c r="C39" s="2" t="s">
        <v>52</v>
      </c>
      <c r="D39" s="49">
        <v>2</v>
      </c>
      <c r="E39" s="52">
        <v>189536</v>
      </c>
      <c r="F39" s="52" t="s">
        <v>562</v>
      </c>
      <c r="G39" s="52"/>
      <c r="H39" s="31">
        <f>D39/E39</f>
        <v>1.0552085092014183E-05</v>
      </c>
      <c r="I39" s="31">
        <f>(D39+0.5)/E39</f>
        <v>1.3190106365017728E-05</v>
      </c>
      <c r="J39" s="3" t="s">
        <v>456</v>
      </c>
      <c r="K39" s="56">
        <f aca="true" t="shared" si="10" ref="K39:K45">I39</f>
        <v>1.3190106365017728E-05</v>
      </c>
      <c r="L39" s="91">
        <v>0.5</v>
      </c>
      <c r="M39" s="111">
        <f>L39*(1-K39)/K39</f>
        <v>37906.7</v>
      </c>
      <c r="N39" s="49">
        <f>W39/X39</f>
        <v>8.443777296547509</v>
      </c>
      <c r="O39" s="51">
        <v>1.2E-05</v>
      </c>
      <c r="P39" s="49">
        <v>0.5</v>
      </c>
      <c r="Q39" s="31">
        <f>P39*(1-O39)/O39</f>
        <v>41666.166666666664</v>
      </c>
      <c r="R39" s="49">
        <f>U39/V39</f>
        <v>8.443754964521993</v>
      </c>
      <c r="U39" s="31">
        <f>BETAINV(0.95,P39,Q39)</f>
        <v>4.609720781445503E-05</v>
      </c>
      <c r="V39" s="31">
        <f>BETAINV(0.5,P39,Q39)</f>
        <v>5.459325620904565E-06</v>
      </c>
      <c r="W39" s="31">
        <f>BETAINV(0.95,L39,M39)</f>
        <v>5.0669070333242416E-05</v>
      </c>
      <c r="X39" s="31">
        <f>BETAINV(0.5,L39,M39)</f>
        <v>6.00075873080641E-06</v>
      </c>
      <c r="Y39" s="119">
        <v>39114</v>
      </c>
    </row>
    <row r="40" spans="1:25" ht="25.5" customHeight="1">
      <c r="A40" s="14" t="s">
        <v>672</v>
      </c>
      <c r="B40" s="14" t="s">
        <v>363</v>
      </c>
      <c r="C40" s="58" t="s">
        <v>336</v>
      </c>
      <c r="D40" s="52">
        <v>0</v>
      </c>
      <c r="E40" s="52">
        <v>839875</v>
      </c>
      <c r="F40" s="52" t="s">
        <v>561</v>
      </c>
      <c r="G40" s="52">
        <v>34</v>
      </c>
      <c r="H40" s="56">
        <f aca="true" t="shared" si="11" ref="H40:H48">D40/E40</f>
        <v>0</v>
      </c>
      <c r="I40" s="31">
        <f>(D40+0.5)/E40</f>
        <v>5.953266855186784E-07</v>
      </c>
      <c r="J40" s="3" t="s">
        <v>463</v>
      </c>
      <c r="K40" s="31">
        <f t="shared" si="10"/>
        <v>5.953266855186784E-07</v>
      </c>
      <c r="L40" s="91">
        <v>0.5</v>
      </c>
      <c r="M40" s="111">
        <f>L40/K40</f>
        <v>839875</v>
      </c>
      <c r="N40" s="49">
        <f t="shared" si="0"/>
        <v>8.443947193457866</v>
      </c>
      <c r="O40" s="51">
        <v>6E-07</v>
      </c>
      <c r="P40" s="49">
        <v>0.5</v>
      </c>
      <c r="Q40" s="31">
        <f>P40/O40</f>
        <v>833333.3333333334</v>
      </c>
      <c r="R40" s="49">
        <f t="shared" si="1"/>
        <v>8.443947193457863</v>
      </c>
      <c r="U40" s="31">
        <f>GAMMAINV(0.95,P40,1/Q40)</f>
        <v>2.3048754896938514E-06</v>
      </c>
      <c r="V40" s="31">
        <f>GAMMAINV(0.5,P40,1/Q40)</f>
        <v>2.729618550290799E-07</v>
      </c>
      <c r="W40" s="31">
        <f>GAMMAINV(0.95,L40,1/M40)</f>
        <v>2.286923143021136E-06</v>
      </c>
      <c r="X40" s="31">
        <f>GAMMAINV(0.5,L40,1/M40)</f>
        <v>2.708357940458202E-07</v>
      </c>
      <c r="Y40" s="119">
        <v>39114</v>
      </c>
    </row>
    <row r="41" spans="1:25" ht="25.5" customHeight="1">
      <c r="A41" s="14" t="s">
        <v>673</v>
      </c>
      <c r="B41" s="14" t="s">
        <v>364</v>
      </c>
      <c r="C41" s="58" t="s">
        <v>336</v>
      </c>
      <c r="D41" s="52">
        <v>1</v>
      </c>
      <c r="E41" s="52">
        <v>13855</v>
      </c>
      <c r="F41" s="52" t="s">
        <v>562</v>
      </c>
      <c r="G41" s="52">
        <v>34</v>
      </c>
      <c r="H41" s="56">
        <f t="shared" si="11"/>
        <v>7.217610970768675E-05</v>
      </c>
      <c r="I41" s="31">
        <f>(D41+0.5)/(E41+1)</f>
        <v>0.00010825635103926098</v>
      </c>
      <c r="J41" s="3" t="s">
        <v>456</v>
      </c>
      <c r="K41" s="31">
        <f t="shared" si="10"/>
        <v>0.00010825635103926098</v>
      </c>
      <c r="L41" s="91">
        <v>0.5</v>
      </c>
      <c r="M41" s="111">
        <f>L41*(1-K41)/K41</f>
        <v>4618.166666666666</v>
      </c>
      <c r="N41" s="49">
        <f t="shared" si="0"/>
        <v>8.442400321429416</v>
      </c>
      <c r="O41" s="51">
        <v>0.0001</v>
      </c>
      <c r="P41" s="49">
        <v>0.5</v>
      </c>
      <c r="Q41" s="31">
        <f>P41*(1-O41)/O41</f>
        <v>4999.5</v>
      </c>
      <c r="R41" s="49">
        <f t="shared" si="1"/>
        <v>8.44251695719699</v>
      </c>
      <c r="U41" s="31">
        <f>BETAINV(0.95,P41,Q41)</f>
        <v>0.0003841295838356018</v>
      </c>
      <c r="V41" s="31">
        <f>BETAINV(0.5,P41,Q41)</f>
        <v>4.549941513687372E-05</v>
      </c>
      <c r="W41" s="31">
        <f>BETAINV(0.95,L41,M41)</f>
        <v>0.0004158429801464081</v>
      </c>
      <c r="X41" s="31">
        <f>BETAINV(0.5,L41,M41)</f>
        <v>4.925648681819439E-05</v>
      </c>
      <c r="Y41" s="119">
        <v>39114</v>
      </c>
    </row>
    <row r="42" spans="1:25" ht="25.5" customHeight="1">
      <c r="A42" s="14" t="s">
        <v>674</v>
      </c>
      <c r="B42" s="14" t="s">
        <v>494</v>
      </c>
      <c r="C42" s="58" t="s">
        <v>336</v>
      </c>
      <c r="D42" s="52">
        <v>2</v>
      </c>
      <c r="E42" s="52">
        <v>1515</v>
      </c>
      <c r="F42" s="52" t="s">
        <v>561</v>
      </c>
      <c r="G42" s="52">
        <v>31</v>
      </c>
      <c r="H42" s="56">
        <f t="shared" si="11"/>
        <v>0.0013201320132013201</v>
      </c>
      <c r="I42" s="31">
        <f>(D42+0.5)/E42</f>
        <v>0.0016501650165016502</v>
      </c>
      <c r="J42" s="3" t="s">
        <v>463</v>
      </c>
      <c r="K42" s="31">
        <f t="shared" si="10"/>
        <v>0.0016501650165016502</v>
      </c>
      <c r="L42" s="91">
        <v>0.5</v>
      </c>
      <c r="M42" s="111">
        <f>L42/K42</f>
        <v>303</v>
      </c>
      <c r="N42" s="49">
        <f>W42/X42</f>
        <v>8.443947193457866</v>
      </c>
      <c r="O42" s="51">
        <v>0.0015</v>
      </c>
      <c r="P42" s="49">
        <v>0.5</v>
      </c>
      <c r="Q42" s="31">
        <f>P42/O42</f>
        <v>333.3333333333333</v>
      </c>
      <c r="R42" s="49">
        <f>U42/V42</f>
        <v>8.443947193457866</v>
      </c>
      <c r="U42" s="31">
        <f>GAMMAINV(0.95,P42,1/Q42)</f>
        <v>0.00576218872423463</v>
      </c>
      <c r="V42" s="31">
        <f>GAMMAINV(0.5,P42,1/Q42)</f>
        <v>0.0006824046375726997</v>
      </c>
      <c r="W42" s="31">
        <f>GAMMAINV(0.95,L42,1/M42)</f>
        <v>0.0063390415008081746</v>
      </c>
      <c r="X42" s="31">
        <f>GAMMAINV(0.5,L42,1/M42)</f>
        <v>0.0007507201733473045</v>
      </c>
      <c r="Y42" s="119">
        <v>39114</v>
      </c>
    </row>
    <row r="43" spans="1:25" ht="25.5" customHeight="1">
      <c r="A43" s="14" t="s">
        <v>675</v>
      </c>
      <c r="B43" s="14" t="s">
        <v>495</v>
      </c>
      <c r="C43" s="58" t="s">
        <v>336</v>
      </c>
      <c r="D43" s="52">
        <v>0</v>
      </c>
      <c r="E43" s="52">
        <v>11133</v>
      </c>
      <c r="F43" s="52" t="s">
        <v>561</v>
      </c>
      <c r="G43" s="52">
        <v>31</v>
      </c>
      <c r="H43" s="56">
        <f t="shared" si="11"/>
        <v>0</v>
      </c>
      <c r="I43" s="31">
        <f>(D43+0.5)/E43</f>
        <v>4.491152429713464E-05</v>
      </c>
      <c r="J43" s="3" t="s">
        <v>463</v>
      </c>
      <c r="K43" s="31">
        <f t="shared" si="10"/>
        <v>4.491152429713464E-05</v>
      </c>
      <c r="L43" s="91">
        <v>0.5</v>
      </c>
      <c r="M43" s="111">
        <f>L43/K43</f>
        <v>11133</v>
      </c>
      <c r="N43" s="49">
        <f>W43/X43</f>
        <v>8.443947193457864</v>
      </c>
      <c r="O43" s="51">
        <v>4E-05</v>
      </c>
      <c r="P43" s="49">
        <v>0.5</v>
      </c>
      <c r="Q43" s="31">
        <f>P43/O43</f>
        <v>12499.999999999998</v>
      </c>
      <c r="R43" s="49">
        <f>U43/V43</f>
        <v>8.443947193457863</v>
      </c>
      <c r="U43" s="31">
        <f>GAMMAINV(0.95,P43,1/Q43)</f>
        <v>0.0001536583659795901</v>
      </c>
      <c r="V43" s="31">
        <f>GAMMAINV(0.5,P43,1/Q43)</f>
        <v>1.819745700193866E-05</v>
      </c>
      <c r="W43" s="31">
        <f>GAMMAINV(0.95,L43,1/M43)</f>
        <v>0.00017252578592875923</v>
      </c>
      <c r="X43" s="31">
        <f>GAMMAINV(0.5,L43,1/M43)</f>
        <v>2.0431888307215777E-05</v>
      </c>
      <c r="Y43" s="119">
        <v>39114</v>
      </c>
    </row>
    <row r="44" spans="1:25" ht="25.5" customHeight="1">
      <c r="A44" s="14" t="s">
        <v>676</v>
      </c>
      <c r="B44" s="14" t="s">
        <v>496</v>
      </c>
      <c r="C44" s="58" t="s">
        <v>336</v>
      </c>
      <c r="D44" s="52">
        <v>3</v>
      </c>
      <c r="E44" s="52">
        <v>1515</v>
      </c>
      <c r="F44" s="52" t="s">
        <v>562</v>
      </c>
      <c r="G44" s="52">
        <v>31</v>
      </c>
      <c r="H44" s="56">
        <f t="shared" si="11"/>
        <v>0.0019801980198019802</v>
      </c>
      <c r="I44" s="31">
        <f>(D44+0.5)/(E44+1)</f>
        <v>0.002308707124010554</v>
      </c>
      <c r="J44" s="3" t="s">
        <v>456</v>
      </c>
      <c r="K44" s="31">
        <f t="shared" si="10"/>
        <v>0.002308707124010554</v>
      </c>
      <c r="L44" s="91">
        <v>0.5</v>
      </c>
      <c r="M44" s="111">
        <f>L44*(1-K44)/K44</f>
        <v>216.07142857142858</v>
      </c>
      <c r="N44" s="49">
        <f>W44/X44</f>
        <v>8.410903484079046</v>
      </c>
      <c r="O44" s="51">
        <v>0.0025</v>
      </c>
      <c r="P44" s="49">
        <v>0.5</v>
      </c>
      <c r="Q44" s="31">
        <f>P44*(1-O44)/O44</f>
        <v>199.5</v>
      </c>
      <c r="R44" s="49">
        <f>U44/V44</f>
        <v>8.408179523764435</v>
      </c>
      <c r="U44" s="31">
        <f>BETAINV(0.95,P44,Q44)</f>
        <v>0.009593486785888672</v>
      </c>
      <c r="V44" s="31">
        <f>BETAINV(0.5,P44,Q44)</f>
        <v>0.0011409707367420197</v>
      </c>
      <c r="W44" s="31">
        <f>BETAINV(0.95,L44,M44)</f>
        <v>0.008860111236572266</v>
      </c>
      <c r="X44" s="31">
        <f>BETAINV(0.5,L44,M44)</f>
        <v>0.0010534077882766724</v>
      </c>
      <c r="Y44" s="119">
        <v>39114</v>
      </c>
    </row>
    <row r="45" spans="1:25" ht="38.25" customHeight="1">
      <c r="A45" s="14" t="s">
        <v>677</v>
      </c>
      <c r="B45" s="14" t="s">
        <v>746</v>
      </c>
      <c r="C45" s="58" t="s">
        <v>336</v>
      </c>
      <c r="D45" s="52">
        <v>0</v>
      </c>
      <c r="E45" s="52">
        <v>267</v>
      </c>
      <c r="F45" s="52" t="s">
        <v>562</v>
      </c>
      <c r="G45" s="52">
        <v>2</v>
      </c>
      <c r="H45" s="56">
        <f t="shared" si="11"/>
        <v>0</v>
      </c>
      <c r="I45" s="31">
        <f>(D45+0.5)/(E45+1)</f>
        <v>0.0018656716417910447</v>
      </c>
      <c r="J45" s="3" t="s">
        <v>456</v>
      </c>
      <c r="K45" s="31">
        <f t="shared" si="10"/>
        <v>0.0018656716417910447</v>
      </c>
      <c r="L45" s="91">
        <v>0.5</v>
      </c>
      <c r="M45" s="111">
        <f>L45/K45</f>
        <v>268</v>
      </c>
      <c r="N45" s="49">
        <f t="shared" si="0"/>
        <v>8.443947193457866</v>
      </c>
      <c r="O45" s="51">
        <v>0.002</v>
      </c>
      <c r="P45" s="49">
        <v>0.5</v>
      </c>
      <c r="Q45" s="31">
        <f>P45/O45</f>
        <v>250</v>
      </c>
      <c r="R45" s="49">
        <f t="shared" si="1"/>
        <v>8.443947193457868</v>
      </c>
      <c r="S45" s="14" t="s">
        <v>471</v>
      </c>
      <c r="U45" s="31">
        <f>GAMMAINV(0.95,P45,1/Q45)</f>
        <v>0.007682918298979508</v>
      </c>
      <c r="V45" s="31">
        <f>GAMMAINV(0.5,P45,1/Q45)</f>
        <v>0.0009098728500969329</v>
      </c>
      <c r="W45" s="31">
        <f>GAMMAINV(0.95,L45,1/M45)</f>
        <v>0.0071669013983017785</v>
      </c>
      <c r="X45" s="31">
        <f>GAMMAINV(0.5,L45,1/M45)</f>
        <v>0.000848761987030721</v>
      </c>
      <c r="Y45" s="119">
        <v>39114</v>
      </c>
    </row>
    <row r="46" spans="1:25" ht="25.5" customHeight="1">
      <c r="A46" s="14" t="s">
        <v>678</v>
      </c>
      <c r="B46" s="14" t="s">
        <v>365</v>
      </c>
      <c r="C46" s="58" t="s">
        <v>336</v>
      </c>
      <c r="D46" s="52">
        <v>0</v>
      </c>
      <c r="E46" s="52">
        <v>16</v>
      </c>
      <c r="F46" s="52" t="s">
        <v>561</v>
      </c>
      <c r="G46" s="52">
        <v>2</v>
      </c>
      <c r="H46" s="56">
        <f t="shared" si="11"/>
        <v>0</v>
      </c>
      <c r="I46" s="31">
        <f>(D46+0.5)/E46</f>
        <v>0.03125</v>
      </c>
      <c r="J46" s="3" t="s">
        <v>473</v>
      </c>
      <c r="K46" s="31">
        <f>K54</f>
        <v>0.000848</v>
      </c>
      <c r="L46" s="91">
        <v>0.3</v>
      </c>
      <c r="M46" s="111">
        <f>L46/K46</f>
        <v>353.77358490566036</v>
      </c>
      <c r="N46" s="49">
        <f t="shared" si="0"/>
        <v>18.765606572139177</v>
      </c>
      <c r="O46" s="51">
        <f>O54</f>
        <v>0.0008</v>
      </c>
      <c r="P46" s="49">
        <v>0.3</v>
      </c>
      <c r="Q46" s="31">
        <f>P46/O46</f>
        <v>374.99999999999994</v>
      </c>
      <c r="R46" s="49">
        <f t="shared" si="1"/>
        <v>18.76560657213917</v>
      </c>
      <c r="S46" s="14" t="s">
        <v>472</v>
      </c>
      <c r="U46" s="31">
        <f>GAMMAINV(0.95,P46,1/Q46)</f>
        <v>0.0036596003325540284</v>
      </c>
      <c r="V46" s="31">
        <f>GAMMAINV(0.5,P46,1/Q46)</f>
        <v>0.00019501636243335433</v>
      </c>
      <c r="W46" s="31">
        <f>GAMMAINV(0.95,L46,1/M46)</f>
        <v>0.0038791763525072714</v>
      </c>
      <c r="X46" s="31">
        <f>GAMMAINV(0.5,L46,1/M46)</f>
        <v>0.00020671734417935557</v>
      </c>
      <c r="Y46" s="119">
        <v>39114</v>
      </c>
    </row>
    <row r="47" spans="1:25" ht="25.5" customHeight="1">
      <c r="A47" s="14" t="s">
        <v>679</v>
      </c>
      <c r="B47" s="14" t="s">
        <v>366</v>
      </c>
      <c r="C47" s="58" t="s">
        <v>336</v>
      </c>
      <c r="D47" s="52">
        <v>6</v>
      </c>
      <c r="E47" s="52">
        <v>267</v>
      </c>
      <c r="F47" s="52" t="s">
        <v>562</v>
      </c>
      <c r="G47" s="52">
        <v>2</v>
      </c>
      <c r="H47" s="56">
        <f t="shared" si="11"/>
        <v>0.02247191011235955</v>
      </c>
      <c r="I47" s="31">
        <f>(D47+0.5)/(E47+1)</f>
        <v>0.024253731343283583</v>
      </c>
      <c r="J47" s="3" t="s">
        <v>456</v>
      </c>
      <c r="K47" s="31">
        <f>I47</f>
        <v>0.024253731343283583</v>
      </c>
      <c r="L47" s="91">
        <v>0.5</v>
      </c>
      <c r="M47" s="111">
        <f>L47*(1-K47)/K47</f>
        <v>20.115384615384617</v>
      </c>
      <c r="N47" s="49">
        <f t="shared" si="0"/>
        <v>8.094118139836853</v>
      </c>
      <c r="O47" s="51">
        <v>0.025</v>
      </c>
      <c r="P47" s="49">
        <v>0.5</v>
      </c>
      <c r="Q47" s="31">
        <f>P47*(1-O47)/O47</f>
        <v>19.5</v>
      </c>
      <c r="R47" s="49">
        <f t="shared" si="1"/>
        <v>8.083222116784988</v>
      </c>
      <c r="S47" s="14" t="s">
        <v>471</v>
      </c>
      <c r="U47" s="31">
        <f>BETAINV(0.95,P47,Q47)</f>
        <v>0.09494447708129883</v>
      </c>
      <c r="V47" s="31">
        <f>BETAINV(0.5,P47,Q47)</f>
        <v>0.011745870113372803</v>
      </c>
      <c r="W47" s="31">
        <f>BETAINV(0.95,L47,M47)</f>
        <v>0.09214448928833008</v>
      </c>
      <c r="X47" s="31">
        <f>BETAINV(0.5,L47,M47)</f>
        <v>0.011384129524230957</v>
      </c>
      <c r="Y47" s="119">
        <v>39114</v>
      </c>
    </row>
    <row r="48" spans="1:25" ht="25.5" customHeight="1">
      <c r="A48" s="14" t="s">
        <v>680</v>
      </c>
      <c r="B48" s="14" t="s">
        <v>367</v>
      </c>
      <c r="C48" s="58" t="s">
        <v>336</v>
      </c>
      <c r="D48" s="52">
        <v>4</v>
      </c>
      <c r="E48" s="52">
        <v>3277</v>
      </c>
      <c r="F48" s="52" t="s">
        <v>561</v>
      </c>
      <c r="G48" s="52">
        <v>27</v>
      </c>
      <c r="H48" s="56">
        <f t="shared" si="11"/>
        <v>0.0012206286237412267</v>
      </c>
      <c r="I48" s="31">
        <f>(D48+0.5)/E48</f>
        <v>0.00137320720170888</v>
      </c>
      <c r="J48" s="3" t="s">
        <v>461</v>
      </c>
      <c r="K48" s="31">
        <v>0.00158</v>
      </c>
      <c r="L48" s="91">
        <v>0.3</v>
      </c>
      <c r="M48" s="111">
        <f>L48/K48</f>
        <v>189.873417721519</v>
      </c>
      <c r="N48" s="49">
        <f t="shared" si="0"/>
        <v>18.765606572139177</v>
      </c>
      <c r="O48" s="51">
        <v>0.0015</v>
      </c>
      <c r="P48" s="49">
        <v>0.3</v>
      </c>
      <c r="Q48" s="31">
        <f>P48/O48</f>
        <v>200</v>
      </c>
      <c r="R48" s="49">
        <f t="shared" si="1"/>
        <v>18.765606572139177</v>
      </c>
      <c r="U48" s="31">
        <f>GAMMAINV(0.95,P48,1/Q48)</f>
        <v>0.006861750623538804</v>
      </c>
      <c r="V48" s="31">
        <f>GAMMAINV(0.5,P48,1/Q48)</f>
        <v>0.00036565567956253927</v>
      </c>
      <c r="W48" s="31">
        <f>GAMMAINV(0.95,L48,1/M48)</f>
        <v>0.007227710656794208</v>
      </c>
      <c r="X48" s="31">
        <f>GAMMAINV(0.5,L48,1/M48)</f>
        <v>0.00038515731580587474</v>
      </c>
      <c r="Y48" s="119">
        <v>39114</v>
      </c>
    </row>
    <row r="49" spans="1:25" ht="25.5" customHeight="1">
      <c r="A49" s="14" t="s">
        <v>681</v>
      </c>
      <c r="B49" s="14" t="s">
        <v>368</v>
      </c>
      <c r="C49" s="58" t="s">
        <v>336</v>
      </c>
      <c r="D49" s="52" t="s">
        <v>191</v>
      </c>
      <c r="E49" s="52"/>
      <c r="F49" s="52" t="s">
        <v>561</v>
      </c>
      <c r="G49" s="52"/>
      <c r="H49" s="56"/>
      <c r="J49" s="3" t="s">
        <v>634</v>
      </c>
      <c r="K49" s="31">
        <f>K48*0.06</f>
        <v>9.48E-05</v>
      </c>
      <c r="L49" s="91">
        <v>0.3</v>
      </c>
      <c r="M49" s="111">
        <f>L49/K49</f>
        <v>3164.5569620253164</v>
      </c>
      <c r="N49" s="49">
        <f t="shared" si="0"/>
        <v>18.765606572139173</v>
      </c>
      <c r="O49" s="51">
        <v>9E-05</v>
      </c>
      <c r="P49" s="49">
        <v>0.3</v>
      </c>
      <c r="Q49" s="31">
        <f>P49/O49</f>
        <v>3333.333333333333</v>
      </c>
      <c r="R49" s="49">
        <f t="shared" si="1"/>
        <v>18.765606572139177</v>
      </c>
      <c r="S49" s="14" t="s">
        <v>635</v>
      </c>
      <c r="T49" s="71">
        <v>38629</v>
      </c>
      <c r="U49" s="31">
        <f>GAMMAINV(0.95,P49,1/Q49)</f>
        <v>0.0004117050374123283</v>
      </c>
      <c r="V49" s="31">
        <f>GAMMAINV(0.5,P49,1/Q49)</f>
        <v>2.1939340773752357E-05</v>
      </c>
      <c r="W49" s="31">
        <f>GAMMAINV(0.95,L49,1/M49)</f>
        <v>0.0004336626394076524</v>
      </c>
      <c r="X49" s="31">
        <f>GAMMAINV(0.5,L49,1/M49)</f>
        <v>2.3109438948352484E-05</v>
      </c>
      <c r="Y49" s="119">
        <v>39114</v>
      </c>
    </row>
    <row r="50" spans="1:25" ht="25.5" customHeight="1">
      <c r="A50" s="14" t="s">
        <v>682</v>
      </c>
      <c r="B50" s="14" t="s">
        <v>369</v>
      </c>
      <c r="C50" s="58" t="s">
        <v>336</v>
      </c>
      <c r="D50" s="52">
        <v>9</v>
      </c>
      <c r="E50" s="52">
        <v>5161</v>
      </c>
      <c r="F50" s="52" t="s">
        <v>562</v>
      </c>
      <c r="G50" s="52">
        <v>27</v>
      </c>
      <c r="H50" s="56">
        <f aca="true" t="shared" si="12" ref="H50:H61">D50/E50</f>
        <v>0.0017438480914551443</v>
      </c>
      <c r="I50" s="31">
        <f>(D50+0.5)/(E50+1)</f>
        <v>0.0018403719488570322</v>
      </c>
      <c r="J50" s="3" t="s">
        <v>462</v>
      </c>
      <c r="K50" s="31">
        <v>0.00388</v>
      </c>
      <c r="L50" s="91">
        <v>0.3</v>
      </c>
      <c r="M50" s="111">
        <f>L50*(1-K50)/K50</f>
        <v>77.01958762886598</v>
      </c>
      <c r="N50" s="49">
        <f t="shared" si="0"/>
        <v>18.607346741011945</v>
      </c>
      <c r="O50" s="51">
        <v>0.004</v>
      </c>
      <c r="P50" s="49">
        <v>0.3</v>
      </c>
      <c r="Q50" s="31">
        <f>P50*(1-O50)/O50</f>
        <v>74.7</v>
      </c>
      <c r="R50" s="49">
        <f t="shared" si="1"/>
        <v>18.60247136258398</v>
      </c>
      <c r="U50" s="31">
        <f>BETAINV(0.95,P50,Q50)</f>
        <v>0.018288373947143555</v>
      </c>
      <c r="V50" s="31">
        <f>BETAINV(0.5,P50,Q50)</f>
        <v>0.0009831152856349945</v>
      </c>
      <c r="W50" s="31">
        <f>BETAINV(0.95,L50,M50)</f>
        <v>0.01774001121520996</v>
      </c>
      <c r="X50" s="31">
        <f>BETAINV(0.5,L50,M50)</f>
        <v>0.0009533874690532684</v>
      </c>
      <c r="Y50" s="119">
        <v>39114</v>
      </c>
    </row>
    <row r="51" spans="1:25" ht="25.5" customHeight="1">
      <c r="A51" s="14" t="s">
        <v>121</v>
      </c>
      <c r="B51" s="14" t="s">
        <v>122</v>
      </c>
      <c r="C51" s="58" t="s">
        <v>336</v>
      </c>
      <c r="D51" s="52">
        <v>0</v>
      </c>
      <c r="E51" s="52">
        <f>G51*8*8760</f>
        <v>2032320</v>
      </c>
      <c r="F51" s="52" t="s">
        <v>561</v>
      </c>
      <c r="G51" s="52">
        <v>29</v>
      </c>
      <c r="H51" s="56">
        <f t="shared" si="12"/>
        <v>0</v>
      </c>
      <c r="I51" s="31">
        <f>(D51+0.5)/E51</f>
        <v>2.4602424814989765E-07</v>
      </c>
      <c r="J51" s="3" t="s">
        <v>463</v>
      </c>
      <c r="K51" s="31">
        <f>I51</f>
        <v>2.4602424814989765E-07</v>
      </c>
      <c r="L51" s="91">
        <v>0.5</v>
      </c>
      <c r="M51" s="111">
        <f>L51/K51</f>
        <v>2032320</v>
      </c>
      <c r="N51" s="49">
        <f>W51/X51</f>
        <v>8.443947193457866</v>
      </c>
      <c r="O51" s="51">
        <v>2.5E-07</v>
      </c>
      <c r="P51" s="49">
        <v>0.5</v>
      </c>
      <c r="Q51" s="31">
        <f>P51/O51</f>
        <v>2000000</v>
      </c>
      <c r="R51" s="49">
        <f>U51/V51</f>
        <v>8.443947193457866</v>
      </c>
      <c r="S51" s="14" t="s">
        <v>30</v>
      </c>
      <c r="U51" s="31">
        <f>GAMMAINV(0.95,P51,1/Q51)</f>
        <v>9.603647873724383E-07</v>
      </c>
      <c r="V51" s="31">
        <f>GAMMAINV(0.5,P51,1/Q51)</f>
        <v>1.1373410626211661E-07</v>
      </c>
      <c r="W51" s="31">
        <f>GAMMAINV(0.95,L51,1/M51)</f>
        <v>9.450920990517619E-07</v>
      </c>
      <c r="X51" s="31">
        <f>GAMMAINV(0.5,L51,1/M51)</f>
        <v>1.1192539192855122E-07</v>
      </c>
      <c r="Y51" s="119">
        <v>39114</v>
      </c>
    </row>
    <row r="52" spans="1:25" ht="25.5" customHeight="1">
      <c r="A52" s="14" t="s">
        <v>123</v>
      </c>
      <c r="B52" s="14" t="s">
        <v>124</v>
      </c>
      <c r="C52" s="15" t="s">
        <v>336</v>
      </c>
      <c r="D52" s="52"/>
      <c r="E52" s="52"/>
      <c r="F52" s="52" t="s">
        <v>561</v>
      </c>
      <c r="G52" s="52"/>
      <c r="H52" s="56"/>
      <c r="J52" s="3" t="s">
        <v>521</v>
      </c>
      <c r="K52" s="31">
        <f>K51*0.07</f>
        <v>1.7221697370492836E-08</v>
      </c>
      <c r="L52" s="91">
        <v>0.3</v>
      </c>
      <c r="M52" s="111">
        <f>L52/K52</f>
        <v>17419885.714285713</v>
      </c>
      <c r="N52" s="49">
        <f>W52/X52</f>
        <v>18.765606572139173</v>
      </c>
      <c r="O52" s="51">
        <v>1.5E-08</v>
      </c>
      <c r="P52" s="49">
        <v>0.3</v>
      </c>
      <c r="Q52" s="31">
        <f>P52/O52</f>
        <v>20000000</v>
      </c>
      <c r="R52" s="49">
        <f>U52/V52</f>
        <v>18.76560657213917</v>
      </c>
      <c r="S52" s="14" t="s">
        <v>522</v>
      </c>
      <c r="U52" s="31">
        <f>GAMMAINV(0.95,P52,1/Q52)</f>
        <v>6.861750623538801E-08</v>
      </c>
      <c r="V52" s="31">
        <f>GAMMAINV(0.5,P52,1/Q52)</f>
        <v>3.6565567956253927E-09</v>
      </c>
      <c r="W52" s="31">
        <f>GAMMAINV(0.95,L52,1/M52)</f>
        <v>7.878066178025052E-08</v>
      </c>
      <c r="X52" s="31">
        <f>GAMMAINV(0.5,L52,1/M52)</f>
        <v>4.198140970151969E-09</v>
      </c>
      <c r="Y52" s="119">
        <v>39114</v>
      </c>
    </row>
    <row r="53" spans="1:25" ht="25.5" customHeight="1">
      <c r="A53" s="14" t="s">
        <v>683</v>
      </c>
      <c r="B53" s="14" t="s">
        <v>370</v>
      </c>
      <c r="C53" s="58" t="s">
        <v>336</v>
      </c>
      <c r="D53" s="52">
        <v>61</v>
      </c>
      <c r="E53" s="52">
        <v>21342</v>
      </c>
      <c r="F53" s="52" t="s">
        <v>562</v>
      </c>
      <c r="G53" s="52">
        <v>225</v>
      </c>
      <c r="H53" s="56">
        <f t="shared" si="12"/>
        <v>0.0028582138506231844</v>
      </c>
      <c r="I53" s="31">
        <f>(D53+0.5)/(E53+1)</f>
        <v>0.0028815068172234454</v>
      </c>
      <c r="J53" s="3" t="s">
        <v>355</v>
      </c>
      <c r="K53" s="31">
        <v>0.0029</v>
      </c>
      <c r="L53" s="91">
        <v>1.411</v>
      </c>
      <c r="M53" s="111">
        <f>L53/K53</f>
        <v>486.5517241379311</v>
      </c>
      <c r="N53" s="49">
        <f t="shared" si="0"/>
        <v>3.4257404410486196</v>
      </c>
      <c r="O53" s="51">
        <v>0.003</v>
      </c>
      <c r="P53" s="49">
        <v>1.5</v>
      </c>
      <c r="Q53" s="31">
        <f>P53/O53</f>
        <v>500</v>
      </c>
      <c r="R53" s="49">
        <f t="shared" si="1"/>
        <v>3.3029644950713464</v>
      </c>
      <c r="U53" s="31">
        <f>GAMMAINV(0.95,P53,1/Q53)</f>
        <v>0.007814727763949866</v>
      </c>
      <c r="V53" s="31">
        <f>GAMMAINV(0.5,P53,1/Q53)</f>
        <v>0.0023659738927290716</v>
      </c>
      <c r="W53" s="31">
        <f>GAMMAINV(0.95,L53,1/M53)</f>
        <v>0.007711203915444786</v>
      </c>
      <c r="X53" s="31">
        <f>GAMMAINV(0.5,L53,1/M53)</f>
        <v>0.0022509597700532107</v>
      </c>
      <c r="Y53" s="119">
        <v>39114</v>
      </c>
    </row>
    <row r="54" spans="1:25" ht="25.5" customHeight="1">
      <c r="A54" s="14" t="s">
        <v>684</v>
      </c>
      <c r="B54" s="14" t="s">
        <v>371</v>
      </c>
      <c r="C54" s="58" t="s">
        <v>336</v>
      </c>
      <c r="D54" s="52">
        <v>50</v>
      </c>
      <c r="E54" s="52">
        <v>59875</v>
      </c>
      <c r="F54" s="52" t="s">
        <v>561</v>
      </c>
      <c r="G54" s="52">
        <v>225</v>
      </c>
      <c r="H54" s="56">
        <f t="shared" si="12"/>
        <v>0.0008350730688935282</v>
      </c>
      <c r="I54" s="31">
        <f>(D54+0.5)/E54</f>
        <v>0.0008434237995824634</v>
      </c>
      <c r="J54" s="3" t="s">
        <v>348</v>
      </c>
      <c r="K54" s="31">
        <v>0.000848</v>
      </c>
      <c r="L54" s="91">
        <v>2.01</v>
      </c>
      <c r="M54" s="111">
        <f>L54/K54</f>
        <v>2370.283018867924</v>
      </c>
      <c r="N54" s="49">
        <f t="shared" si="0"/>
        <v>2.819479045771122</v>
      </c>
      <c r="O54" s="51">
        <v>0.0008</v>
      </c>
      <c r="P54" s="49">
        <v>2</v>
      </c>
      <c r="Q54" s="31">
        <f>P54/O54</f>
        <v>2500</v>
      </c>
      <c r="R54" s="49">
        <f t="shared" si="1"/>
        <v>2.826509962791067</v>
      </c>
      <c r="U54" s="31">
        <f>GAMMAINV(0.95,P54,1/Q54)</f>
        <v>0.0018975458073977693</v>
      </c>
      <c r="V54" s="31">
        <f>GAMMAINV(0.5,P54,1/Q54)</f>
        <v>0.0006713388002793444</v>
      </c>
      <c r="W54" s="31">
        <f>GAMMAINV(0.95,L54,1/M54)</f>
        <v>0.00200822895705555</v>
      </c>
      <c r="X54" s="31">
        <f>GAMMAINV(0.5,L54,1/M54)</f>
        <v>0.0007122695095278864</v>
      </c>
      <c r="Y54" s="119">
        <v>39114</v>
      </c>
    </row>
    <row r="55" spans="1:25" ht="25.5" customHeight="1">
      <c r="A55" s="14" t="s">
        <v>685</v>
      </c>
      <c r="B55" s="14" t="s">
        <v>372</v>
      </c>
      <c r="C55" s="58" t="s">
        <v>336</v>
      </c>
      <c r="D55" s="52">
        <v>98</v>
      </c>
      <c r="E55" s="52">
        <v>24206</v>
      </c>
      <c r="F55" s="52" t="s">
        <v>562</v>
      </c>
      <c r="G55" s="52">
        <v>225</v>
      </c>
      <c r="H55" s="56">
        <f t="shared" si="12"/>
        <v>0.004048582995951417</v>
      </c>
      <c r="I55" s="31">
        <f>(D55+0.5)/(E55+1)</f>
        <v>0.004069070929896311</v>
      </c>
      <c r="J55" s="3" t="s">
        <v>355</v>
      </c>
      <c r="K55" s="31">
        <v>0.00453</v>
      </c>
      <c r="L55" s="91">
        <v>1.075</v>
      </c>
      <c r="M55" s="111">
        <f>L55*(1-K55)/K55</f>
        <v>236.23184326710813</v>
      </c>
      <c r="N55" s="49">
        <f t="shared" si="0"/>
        <v>4.078296140441342</v>
      </c>
      <c r="O55" s="51">
        <v>0.005</v>
      </c>
      <c r="P55" s="49">
        <v>1</v>
      </c>
      <c r="Q55" s="31">
        <f>P55*(1-O55)/O55</f>
        <v>199</v>
      </c>
      <c r="R55" s="49">
        <f t="shared" si="1"/>
        <v>4.297042453461899</v>
      </c>
      <c r="U55" s="31">
        <f>BETAINV(0.95,P55,Q55)</f>
        <v>0.014941215515136719</v>
      </c>
      <c r="V55" s="31">
        <f>BETAINV(0.5,P55,Q55)</f>
        <v>0.003477092832326889</v>
      </c>
      <c r="W55" s="31">
        <f>BETAINV(0.95,L55,M55)</f>
        <v>0.013199597597122192</v>
      </c>
      <c r="X55" s="31">
        <f>BETAINV(0.5,L55,M55)</f>
        <v>0.003236547112464905</v>
      </c>
      <c r="Y55" s="119">
        <v>39114</v>
      </c>
    </row>
    <row r="56" spans="1:25" ht="25.5" customHeight="1">
      <c r="A56" s="14" t="s">
        <v>373</v>
      </c>
      <c r="B56" s="14" t="s">
        <v>374</v>
      </c>
      <c r="C56" s="58" t="s">
        <v>336</v>
      </c>
      <c r="D56" s="52">
        <v>0</v>
      </c>
      <c r="E56" s="52">
        <v>468</v>
      </c>
      <c r="F56" s="52" t="s">
        <v>562</v>
      </c>
      <c r="G56" s="52">
        <v>53</v>
      </c>
      <c r="H56" s="56">
        <f t="shared" si="12"/>
        <v>0</v>
      </c>
      <c r="I56" s="31">
        <f>(D56+0.5)/(E56+1)</f>
        <v>0.0010660980810234541</v>
      </c>
      <c r="J56" s="3" t="s">
        <v>456</v>
      </c>
      <c r="K56" s="31">
        <f>I56</f>
        <v>0.0010660980810234541</v>
      </c>
      <c r="L56" s="91">
        <v>0.5</v>
      </c>
      <c r="M56" s="111">
        <f>L56*(1-K56)/K56</f>
        <v>468.5</v>
      </c>
      <c r="N56" s="49">
        <f t="shared" si="0"/>
        <v>8.428687581498812</v>
      </c>
      <c r="O56" s="51">
        <v>0.001</v>
      </c>
      <c r="P56" s="49">
        <v>0.5</v>
      </c>
      <c r="Q56" s="31">
        <f>P56*(1-O56)/O56</f>
        <v>499.5</v>
      </c>
      <c r="R56" s="49">
        <f t="shared" si="1"/>
        <v>8.429649196697648</v>
      </c>
      <c r="T56" s="71">
        <v>38629</v>
      </c>
      <c r="U56" s="31">
        <f>BETAINV(0.95,P56,Q56)</f>
        <v>0.003839835524559021</v>
      </c>
      <c r="V56" s="31">
        <f>BETAINV(0.5,P56,Q56)</f>
        <v>0.00045551545917987823</v>
      </c>
      <c r="W56" s="31">
        <f>BETAINV(0.95,L56,M56)</f>
        <v>0.004093527793884277</v>
      </c>
      <c r="X56" s="31">
        <f>BETAINV(0.5,L56,M56)</f>
        <v>0.00048566609621047974</v>
      </c>
      <c r="Y56" s="119">
        <v>39114</v>
      </c>
    </row>
    <row r="57" spans="1:25" ht="25.5" customHeight="1">
      <c r="A57" s="14" t="s">
        <v>686</v>
      </c>
      <c r="B57" s="14" t="s">
        <v>375</v>
      </c>
      <c r="C57" s="58" t="s">
        <v>336</v>
      </c>
      <c r="D57" s="52">
        <v>57</v>
      </c>
      <c r="E57" s="52">
        <v>6279790</v>
      </c>
      <c r="F57" s="52" t="s">
        <v>561</v>
      </c>
      <c r="G57" s="52">
        <v>234</v>
      </c>
      <c r="H57" s="56">
        <f t="shared" si="12"/>
        <v>9.076736642467344E-06</v>
      </c>
      <c r="I57" s="31">
        <f>(D57+0.5)/E57</f>
        <v>9.156357139331092E-06</v>
      </c>
      <c r="J57" s="3" t="s">
        <v>348</v>
      </c>
      <c r="K57" s="31">
        <v>1.08E-05</v>
      </c>
      <c r="L57" s="91">
        <v>0.652</v>
      </c>
      <c r="M57" s="111">
        <f>L57/K57</f>
        <v>60370.37037037037</v>
      </c>
      <c r="N57" s="49">
        <f t="shared" si="0"/>
        <v>6.271294595639587</v>
      </c>
      <c r="O57" s="51">
        <v>1E-05</v>
      </c>
      <c r="P57" s="49">
        <v>0.7</v>
      </c>
      <c r="Q57" s="31">
        <f>P57/O57</f>
        <v>69999.99999999999</v>
      </c>
      <c r="R57" s="49">
        <f t="shared" si="1"/>
        <v>5.8480148135473815</v>
      </c>
      <c r="U57" s="31">
        <f>GAMMAINV(0.95,P57,1/Q57)</f>
        <v>3.403743042759752E-05</v>
      </c>
      <c r="V57" s="31">
        <f>GAMMAINV(0.5,P57,1/Q57)</f>
        <v>5.820339296806698E-06</v>
      </c>
      <c r="W57" s="31">
        <f>GAMMAINV(0.95,L57,1/M57)</f>
        <v>3.771479559578126E-05</v>
      </c>
      <c r="X57" s="31">
        <f>GAMMAINV(0.5,L57,1/M57)</f>
        <v>6.0138772020061455E-06</v>
      </c>
      <c r="Y57" s="119">
        <v>39114</v>
      </c>
    </row>
    <row r="58" spans="1:25" ht="25.5" customHeight="1">
      <c r="A58" s="14" t="s">
        <v>687</v>
      </c>
      <c r="B58" s="14" t="s">
        <v>376</v>
      </c>
      <c r="C58" s="58" t="s">
        <v>336</v>
      </c>
      <c r="D58" s="52">
        <v>18</v>
      </c>
      <c r="E58" s="52">
        <v>24024</v>
      </c>
      <c r="F58" s="52" t="s">
        <v>562</v>
      </c>
      <c r="G58" s="52">
        <v>234</v>
      </c>
      <c r="H58" s="56">
        <f t="shared" si="12"/>
        <v>0.0007492507492507493</v>
      </c>
      <c r="I58" s="31">
        <f>(D58+0.5)/(E58+1)</f>
        <v>0.0007700312174817898</v>
      </c>
      <c r="J58" s="3" t="s">
        <v>462</v>
      </c>
      <c r="K58" s="31">
        <v>0.00179</v>
      </c>
      <c r="L58" s="91">
        <v>0.3</v>
      </c>
      <c r="M58" s="111">
        <f>L58*(1-K58)/K58</f>
        <v>167.2977653631285</v>
      </c>
      <c r="N58" s="49">
        <f t="shared" si="0"/>
        <v>18.69278632885766</v>
      </c>
      <c r="O58" s="51">
        <v>0.002</v>
      </c>
      <c r="P58" s="49">
        <v>0.3</v>
      </c>
      <c r="Q58" s="31">
        <f>P58*(1-O58)/O58</f>
        <v>149.7</v>
      </c>
      <c r="R58" s="49">
        <f t="shared" si="1"/>
        <v>18.68416907324757</v>
      </c>
      <c r="U58" s="31">
        <f>BETAINV(0.95,P58,Q58)</f>
        <v>0.009146690368652344</v>
      </c>
      <c r="V58" s="31">
        <f>BETAINV(0.5,P58,Q58)</f>
        <v>0.0004895422607660294</v>
      </c>
      <c r="W58" s="31">
        <f>BETAINV(0.95,L58,M58)</f>
        <v>0.008186519145965576</v>
      </c>
      <c r="X58" s="31">
        <f>BETAINV(0.5,L58,M58)</f>
        <v>0.0004379507154226303</v>
      </c>
      <c r="Y58" s="119">
        <v>39114</v>
      </c>
    </row>
    <row r="59" spans="1:25" ht="25.5" customHeight="1">
      <c r="A59" s="14" t="s">
        <v>688</v>
      </c>
      <c r="B59" s="14" t="s">
        <v>377</v>
      </c>
      <c r="C59" s="58" t="s">
        <v>336</v>
      </c>
      <c r="D59" s="52">
        <v>19</v>
      </c>
      <c r="E59" s="52">
        <v>17019</v>
      </c>
      <c r="F59" s="52" t="s">
        <v>561</v>
      </c>
      <c r="G59" s="52">
        <v>145</v>
      </c>
      <c r="H59" s="56">
        <f t="shared" si="12"/>
        <v>0.0011163993184088372</v>
      </c>
      <c r="I59" s="31">
        <f>(D59+0.5)/E59</f>
        <v>0.0011457782478406487</v>
      </c>
      <c r="J59" s="3" t="s">
        <v>348</v>
      </c>
      <c r="K59" s="31">
        <v>0.00191</v>
      </c>
      <c r="L59" s="91">
        <v>0.348</v>
      </c>
      <c r="M59" s="111">
        <f>L59/K59</f>
        <v>182.19895287958113</v>
      </c>
      <c r="N59" s="49">
        <f t="shared" si="0"/>
        <v>14.313530445473921</v>
      </c>
      <c r="O59" s="51">
        <v>0.002</v>
      </c>
      <c r="P59" s="49">
        <v>0.3</v>
      </c>
      <c r="Q59" s="31">
        <f>P59/O59</f>
        <v>150</v>
      </c>
      <c r="R59" s="49">
        <f t="shared" si="1"/>
        <v>18.76560657213918</v>
      </c>
      <c r="U59" s="31">
        <f>GAMMAINV(0.95,P59,1/Q59)</f>
        <v>0.009149000831385073</v>
      </c>
      <c r="V59" s="31">
        <f>GAMMAINV(0.5,P59,1/Q59)</f>
        <v>0.0004875409060833857</v>
      </c>
      <c r="W59" s="31">
        <f>GAMMAINV(0.95,L59,1/M59)</f>
        <v>0.008321534333589224</v>
      </c>
      <c r="X59" s="31">
        <f>GAMMAINV(0.5,L59,1/M59)</f>
        <v>0.0005813753892018006</v>
      </c>
      <c r="Y59" s="119">
        <v>39114</v>
      </c>
    </row>
    <row r="60" spans="1:25" ht="25.5" customHeight="1">
      <c r="A60" s="14" t="s">
        <v>689</v>
      </c>
      <c r="B60" s="14" t="s">
        <v>378</v>
      </c>
      <c r="C60" s="58" t="s">
        <v>336</v>
      </c>
      <c r="D60" s="49">
        <v>8</v>
      </c>
      <c r="E60" s="52">
        <v>76434</v>
      </c>
      <c r="F60" s="52" t="s">
        <v>561</v>
      </c>
      <c r="G60" s="52">
        <v>103</v>
      </c>
      <c r="H60" s="56">
        <f t="shared" si="12"/>
        <v>0.000104665463013842</v>
      </c>
      <c r="I60" s="31">
        <f>(D60+0.5)/E60</f>
        <v>0.00011120705445220713</v>
      </c>
      <c r="J60" s="3" t="s">
        <v>463</v>
      </c>
      <c r="K60" s="31">
        <f>I60</f>
        <v>0.00011120705445220713</v>
      </c>
      <c r="L60" s="91">
        <v>8.5</v>
      </c>
      <c r="M60" s="111">
        <f>L60/K60</f>
        <v>76434</v>
      </c>
      <c r="N60" s="49">
        <f t="shared" si="0"/>
        <v>1.6885055163268194</v>
      </c>
      <c r="O60" s="51">
        <v>0.00012</v>
      </c>
      <c r="P60" s="49">
        <v>8</v>
      </c>
      <c r="Q60" s="31">
        <f>P60/O60</f>
        <v>66666.66666666667</v>
      </c>
      <c r="R60" s="49">
        <f t="shared" si="1"/>
        <v>1.7143937439428045</v>
      </c>
      <c r="U60" s="31">
        <f>GAMMAINV(0.95,P60,1/Q60)</f>
        <v>0.00019722170704214708</v>
      </c>
      <c r="V60" s="31">
        <f>GAMMAINV(0.5,P60,1/Q60)</f>
        <v>0.00011503874634339939</v>
      </c>
      <c r="W60" s="31">
        <f>GAMMAINV(0.95,L60,1/M60)</f>
        <v>0.00018046361331144634</v>
      </c>
      <c r="X60" s="31">
        <f>GAMMAINV(0.5,L60,1/M60)</f>
        <v>0.00010687771616170227</v>
      </c>
      <c r="Y60" s="119">
        <v>39114</v>
      </c>
    </row>
    <row r="61" spans="1:25" ht="25.5" customHeight="1">
      <c r="A61" s="14" t="s">
        <v>690</v>
      </c>
      <c r="B61" s="14" t="s">
        <v>379</v>
      </c>
      <c r="C61" s="58" t="s">
        <v>336</v>
      </c>
      <c r="D61" s="52">
        <v>33</v>
      </c>
      <c r="E61" s="52">
        <v>25099</v>
      </c>
      <c r="F61" s="52" t="s">
        <v>562</v>
      </c>
      <c r="G61" s="52">
        <v>248</v>
      </c>
      <c r="H61" s="56">
        <f t="shared" si="12"/>
        <v>0.0013147934180644646</v>
      </c>
      <c r="I61" s="31">
        <f>(D61+0.5)/(E61+1)</f>
        <v>0.0013346613545816733</v>
      </c>
      <c r="J61" s="3" t="s">
        <v>462</v>
      </c>
      <c r="K61" s="31">
        <v>0.00289</v>
      </c>
      <c r="L61" s="91">
        <v>0.3</v>
      </c>
      <c r="M61" s="111">
        <f>L61*(1-K61)/K61</f>
        <v>103.50622837370241</v>
      </c>
      <c r="N61" s="49">
        <f t="shared" si="0"/>
        <v>18.64792493494888</v>
      </c>
      <c r="O61" s="51">
        <v>0.003</v>
      </c>
      <c r="P61" s="49">
        <v>0.3</v>
      </c>
      <c r="Q61" s="31">
        <f>P61*(1-O61)/O61</f>
        <v>99.69999999999999</v>
      </c>
      <c r="R61" s="49">
        <f t="shared" si="1"/>
        <v>18.64340500503744</v>
      </c>
      <c r="U61" s="31">
        <f>BETAINV(0.95,P61,Q61)</f>
        <v>0.013718247413635254</v>
      </c>
      <c r="V61" s="31">
        <f>BETAINV(0.5,P61,Q61)</f>
        <v>0.0007358230650424957</v>
      </c>
      <c r="W61" s="31">
        <f>BETAINV(0.95,L61,M61)</f>
        <v>0.013215422630310059</v>
      </c>
      <c r="X61" s="31">
        <f>BETAINV(0.5,L61,M61)</f>
        <v>0.0007086805999279022</v>
      </c>
      <c r="Y61" s="119">
        <v>39114</v>
      </c>
    </row>
    <row r="62" spans="1:25" ht="25.5" customHeight="1">
      <c r="A62" s="54" t="s">
        <v>637</v>
      </c>
      <c r="B62" s="54" t="s">
        <v>638</v>
      </c>
      <c r="C62" s="58" t="s">
        <v>336</v>
      </c>
      <c r="D62" s="60">
        <v>1</v>
      </c>
      <c r="E62" s="60">
        <f>G62*8*8760</f>
        <v>15207360</v>
      </c>
      <c r="F62" s="60" t="s">
        <v>561</v>
      </c>
      <c r="G62" s="60">
        <v>217</v>
      </c>
      <c r="H62" s="56">
        <f>D62/E62</f>
        <v>6.575763314605559E-08</v>
      </c>
      <c r="I62" s="31">
        <f>(D62+0.5)/(E62+1)</f>
        <v>9.863644323298434E-08</v>
      </c>
      <c r="J62" s="15" t="s">
        <v>463</v>
      </c>
      <c r="K62" s="56">
        <f>I62</f>
        <v>9.863644323298434E-08</v>
      </c>
      <c r="L62" s="92">
        <v>0.5</v>
      </c>
      <c r="M62" s="111">
        <f>L62/K62</f>
        <v>5069120.333333333</v>
      </c>
      <c r="N62" s="49">
        <f t="shared" si="0"/>
        <v>8.443947193457866</v>
      </c>
      <c r="O62" s="59">
        <v>1E-07</v>
      </c>
      <c r="P62" s="57">
        <v>0.5</v>
      </c>
      <c r="Q62" s="56">
        <f>P62/O62</f>
        <v>5000000</v>
      </c>
      <c r="R62" s="49">
        <f t="shared" si="1"/>
        <v>8.443947193457864</v>
      </c>
      <c r="S62" s="54"/>
      <c r="U62" s="31">
        <f>GAMMAINV(0.95,P62,1/Q62)</f>
        <v>3.841459149489752E-07</v>
      </c>
      <c r="V62" s="31">
        <f>GAMMAINV(0.5,P62,1/Q62)</f>
        <v>4.549364250484664E-08</v>
      </c>
      <c r="W62" s="31">
        <f>GAMMAINV(0.95,L62,1/M62)</f>
        <v>3.789078673304744E-07</v>
      </c>
      <c r="X62" s="31">
        <f>GAMMAINV(0.5,L62,1/M62)</f>
        <v>4.48733108639099E-08</v>
      </c>
      <c r="Y62" s="119">
        <v>39114</v>
      </c>
    </row>
    <row r="63" spans="1:25" ht="25.5" customHeight="1">
      <c r="A63" s="54" t="s">
        <v>80</v>
      </c>
      <c r="B63" s="54" t="s">
        <v>82</v>
      </c>
      <c r="C63" s="58" t="s">
        <v>336</v>
      </c>
      <c r="D63" s="60">
        <v>7</v>
      </c>
      <c r="E63" s="60">
        <v>5341</v>
      </c>
      <c r="F63" s="60" t="s">
        <v>562</v>
      </c>
      <c r="G63" s="60">
        <v>113</v>
      </c>
      <c r="H63" s="56">
        <f>D63/E63</f>
        <v>0.001310615989515072</v>
      </c>
      <c r="I63" s="31">
        <f>(D63+0.5)/(E63+1)</f>
        <v>0.0014039685511044553</v>
      </c>
      <c r="J63" s="3" t="s">
        <v>462</v>
      </c>
      <c r="K63" s="31">
        <v>0.00261</v>
      </c>
      <c r="L63" s="91">
        <v>0.3</v>
      </c>
      <c r="M63" s="111">
        <f>L63*(1-K63)/K63</f>
        <v>114.6425287356322</v>
      </c>
      <c r="N63" s="49">
        <f>W63/X63</f>
        <v>18.659297459894994</v>
      </c>
      <c r="O63" s="51">
        <v>0.0025</v>
      </c>
      <c r="P63" s="49">
        <v>0.3</v>
      </c>
      <c r="Q63" s="31">
        <f>P63*(1-O63)/O63</f>
        <v>119.7</v>
      </c>
      <c r="R63" s="49">
        <f>U63/V63</f>
        <v>18.663812396613796</v>
      </c>
      <c r="U63" s="31">
        <f>BETAINV(0.95,P63,Q63)</f>
        <v>0.011432647705078125</v>
      </c>
      <c r="V63" s="31">
        <f>BETAINV(0.5,P63,Q63)</f>
        <v>0.0006125569343566895</v>
      </c>
      <c r="W63" s="31">
        <f>BETAINV(0.95,L63,M63)</f>
        <v>0.01193547248840332</v>
      </c>
      <c r="X63" s="31">
        <f>BETAINV(0.5,L63,M63)</f>
        <v>0.0006396528333425522</v>
      </c>
      <c r="Y63" s="119">
        <v>39114</v>
      </c>
    </row>
    <row r="64" spans="1:25" ht="25.5" customHeight="1">
      <c r="A64" s="54" t="s">
        <v>81</v>
      </c>
      <c r="B64" s="54" t="s">
        <v>83</v>
      </c>
      <c r="C64" s="58" t="s">
        <v>336</v>
      </c>
      <c r="D64" s="60">
        <v>1</v>
      </c>
      <c r="E64" s="60">
        <f>G64*5*8760</f>
        <v>4949400</v>
      </c>
      <c r="F64" s="60" t="s">
        <v>561</v>
      </c>
      <c r="G64" s="60">
        <v>113</v>
      </c>
      <c r="H64" s="56">
        <f>D64/E64</f>
        <v>2.0204469228593365E-07</v>
      </c>
      <c r="I64" s="31">
        <f>(D64+0.5)/E64</f>
        <v>3.0306703842890046E-07</v>
      </c>
      <c r="J64" s="3" t="s">
        <v>463</v>
      </c>
      <c r="K64" s="31">
        <f>I64</f>
        <v>3.0306703842890046E-07</v>
      </c>
      <c r="L64" s="91">
        <v>0.5</v>
      </c>
      <c r="M64" s="111">
        <f>L64/K64</f>
        <v>1649800</v>
      </c>
      <c r="N64" s="49">
        <f>W64/X64</f>
        <v>8.44394719345787</v>
      </c>
      <c r="O64" s="51">
        <v>3E-07</v>
      </c>
      <c r="P64" s="49">
        <v>0.5</v>
      </c>
      <c r="Q64" s="31">
        <f>P64/O64</f>
        <v>1666666.6666666667</v>
      </c>
      <c r="R64" s="49">
        <f>U64/V64</f>
        <v>8.443947193457863</v>
      </c>
      <c r="U64" s="31">
        <f>GAMMAINV(0.95,P64,1/Q64)</f>
        <v>1.1524377448469257E-06</v>
      </c>
      <c r="V64" s="31">
        <f>GAMMAINV(0.5,P64,1/Q64)</f>
        <v>1.3648092751453995E-07</v>
      </c>
      <c r="W64" s="31">
        <f>GAMMAINV(0.95,L64,1/M64)</f>
        <v>1.1642196476814626E-06</v>
      </c>
      <c r="X64" s="31">
        <f>GAMMAINV(0.5,L64,1/M64)</f>
        <v>1.3787623501287015E-07</v>
      </c>
      <c r="Y64" s="119">
        <v>39114</v>
      </c>
    </row>
    <row r="65" spans="1:25" ht="25.5" customHeight="1">
      <c r="A65" s="54" t="s">
        <v>380</v>
      </c>
      <c r="B65" s="54" t="s">
        <v>381</v>
      </c>
      <c r="C65" s="58" t="s">
        <v>343</v>
      </c>
      <c r="D65" s="60"/>
      <c r="E65" s="60"/>
      <c r="F65" s="60" t="s">
        <v>561</v>
      </c>
      <c r="G65" s="60"/>
      <c r="H65" s="56"/>
      <c r="I65" s="56">
        <v>3E-06</v>
      </c>
      <c r="J65" s="15" t="s">
        <v>464</v>
      </c>
      <c r="K65" s="56">
        <f>I65</f>
        <v>3E-06</v>
      </c>
      <c r="L65" s="92">
        <v>0.3</v>
      </c>
      <c r="M65" s="111">
        <f>L65/K65</f>
        <v>100000</v>
      </c>
      <c r="N65" s="49">
        <f t="shared" si="0"/>
        <v>18.765606572139184</v>
      </c>
      <c r="O65" s="59">
        <f>K65</f>
        <v>3E-06</v>
      </c>
      <c r="P65" s="57">
        <v>0.3</v>
      </c>
      <c r="Q65" s="56">
        <f>P65/O65</f>
        <v>100000</v>
      </c>
      <c r="R65" s="49">
        <f t="shared" si="1"/>
        <v>18.765606572139184</v>
      </c>
      <c r="S65" s="54"/>
      <c r="U65" s="31">
        <f>GAMMAINV(0.95,P65,1/Q65)</f>
        <v>1.3723501247077611E-05</v>
      </c>
      <c r="V65" s="31">
        <f>GAMMAINV(0.5,P65,1/Q65)</f>
        <v>7.313113591250785E-07</v>
      </c>
      <c r="W65" s="31">
        <f>GAMMAINV(0.95,L65,1/M65)</f>
        <v>1.3723501247077611E-05</v>
      </c>
      <c r="X65" s="31">
        <f>GAMMAINV(0.5,L65,1/M65)</f>
        <v>7.313113591250785E-07</v>
      </c>
      <c r="Y65" s="119">
        <v>39114</v>
      </c>
    </row>
    <row r="66" spans="1:25" ht="25.5" customHeight="1">
      <c r="A66" s="14" t="s">
        <v>382</v>
      </c>
      <c r="B66" s="14" t="s">
        <v>383</v>
      </c>
      <c r="C66" s="58" t="s">
        <v>336</v>
      </c>
      <c r="D66" s="52">
        <v>8</v>
      </c>
      <c r="E66" s="52">
        <v>11827</v>
      </c>
      <c r="F66" s="52" t="s">
        <v>562</v>
      </c>
      <c r="G66" s="52">
        <v>558</v>
      </c>
      <c r="H66" s="56">
        <f>D66/E66</f>
        <v>0.0006764183647586032</v>
      </c>
      <c r="I66" s="31">
        <f>(D66+0.5)/(E66+1)</f>
        <v>0.0007186337504227257</v>
      </c>
      <c r="J66" s="3" t="s">
        <v>462</v>
      </c>
      <c r="K66" s="31">
        <v>0.00151</v>
      </c>
      <c r="L66" s="91">
        <v>0.3</v>
      </c>
      <c r="M66" s="111">
        <f>L66*(1-K66)/K66</f>
        <v>198.37549668874172</v>
      </c>
      <c r="N66" s="49">
        <f t="shared" si="0"/>
        <v>18.704205457787776</v>
      </c>
      <c r="O66" s="51">
        <v>0.0015</v>
      </c>
      <c r="P66" s="49">
        <v>0.3</v>
      </c>
      <c r="Q66" s="31">
        <f>P66*(1-O66)/O66</f>
        <v>199.7</v>
      </c>
      <c r="R66" s="49">
        <f t="shared" si="1"/>
        <v>18.704530911971723</v>
      </c>
      <c r="U66" s="31">
        <f>BETAINV(0.95,P66,Q66)</f>
        <v>0.006860464811325073</v>
      </c>
      <c r="V66" s="31">
        <f>BETAINV(0.5,P66,Q66)</f>
        <v>0.00036678090691566467</v>
      </c>
      <c r="W66" s="31">
        <f>BETAINV(0.95,L66,M66)</f>
        <v>0.0069062113761901855</v>
      </c>
      <c r="X66" s="31">
        <f>BETAINV(0.5,L66,M66)</f>
        <v>0.00036923307925462723</v>
      </c>
      <c r="Y66" s="119">
        <v>39114</v>
      </c>
    </row>
    <row r="67" spans="1:25" ht="25.5" customHeight="1">
      <c r="A67" s="14" t="s">
        <v>45</v>
      </c>
      <c r="B67" s="14" t="s">
        <v>46</v>
      </c>
      <c r="C67" s="58" t="s">
        <v>336</v>
      </c>
      <c r="D67" s="52">
        <v>6</v>
      </c>
      <c r="E67" s="52">
        <f>G67*5*8760</f>
        <v>24440400</v>
      </c>
      <c r="F67" s="52" t="s">
        <v>561</v>
      </c>
      <c r="G67" s="52">
        <v>558</v>
      </c>
      <c r="H67" s="56">
        <f>D67/E67</f>
        <v>2.454951637452742E-07</v>
      </c>
      <c r="I67" s="31">
        <f>(D67+0.5)/E67</f>
        <v>2.659530940573804E-07</v>
      </c>
      <c r="J67" s="3" t="s">
        <v>461</v>
      </c>
      <c r="K67" s="31">
        <v>3.61E-07</v>
      </c>
      <c r="L67" s="91">
        <v>0.3</v>
      </c>
      <c r="M67" s="111">
        <f aca="true" t="shared" si="13" ref="M67:M73">L67/K67</f>
        <v>831024.9307479224</v>
      </c>
      <c r="N67" s="49">
        <f t="shared" si="0"/>
        <v>18.76560657213918</v>
      </c>
      <c r="O67" s="51">
        <v>4E-07</v>
      </c>
      <c r="P67" s="49">
        <v>0.3</v>
      </c>
      <c r="Q67" s="31">
        <f aca="true" t="shared" si="14" ref="Q67:Q73">P67/O67</f>
        <v>750000</v>
      </c>
      <c r="R67" s="49">
        <f t="shared" si="1"/>
        <v>18.76560657213918</v>
      </c>
      <c r="U67" s="31">
        <f aca="true" t="shared" si="15" ref="U67:U73">GAMMAINV(0.95,P67,1/Q67)</f>
        <v>1.8298001662770147E-06</v>
      </c>
      <c r="V67" s="31">
        <f aca="true" t="shared" si="16" ref="V67:V73">GAMMAINV(0.5,P67,1/Q67)</f>
        <v>9.750818121667714E-08</v>
      </c>
      <c r="W67" s="31">
        <f aca="true" t="shared" si="17" ref="W67:W73">GAMMAINV(0.95,L67,1/M67)</f>
        <v>1.6513946500650058E-06</v>
      </c>
      <c r="X67" s="31">
        <f aca="true" t="shared" si="18" ref="X67:X73">GAMMAINV(0.5,L67,1/M67)</f>
        <v>8.800113354805112E-08</v>
      </c>
      <c r="Y67" s="119">
        <v>39114</v>
      </c>
    </row>
    <row r="68" spans="1:25" ht="25.5" customHeight="1">
      <c r="A68" s="14" t="s">
        <v>125</v>
      </c>
      <c r="B68" s="14" t="s">
        <v>126</v>
      </c>
      <c r="C68" s="58" t="s">
        <v>336</v>
      </c>
      <c r="D68" s="52">
        <v>0</v>
      </c>
      <c r="E68" s="52">
        <f>G68*8*8760</f>
        <v>33848640</v>
      </c>
      <c r="F68" s="52" t="s">
        <v>561</v>
      </c>
      <c r="G68" s="52">
        <v>483</v>
      </c>
      <c r="H68" s="56">
        <f>D68/E68</f>
        <v>0</v>
      </c>
      <c r="I68" s="31">
        <f>(D68+0.5)/E68</f>
        <v>1.4771642228461764E-08</v>
      </c>
      <c r="J68" s="3" t="s">
        <v>463</v>
      </c>
      <c r="K68" s="31">
        <f>I68</f>
        <v>1.4771642228461764E-08</v>
      </c>
      <c r="L68" s="91">
        <v>0.5</v>
      </c>
      <c r="M68" s="111">
        <f t="shared" si="13"/>
        <v>33848640</v>
      </c>
      <c r="N68" s="49">
        <f>W68/X68</f>
        <v>8.443947193457866</v>
      </c>
      <c r="O68" s="51">
        <v>1.5E-08</v>
      </c>
      <c r="P68" s="49">
        <v>0.5</v>
      </c>
      <c r="Q68" s="31">
        <f t="shared" si="14"/>
        <v>33333333.333333336</v>
      </c>
      <c r="R68" s="49">
        <f>U68/V68</f>
        <v>8.443947193457866</v>
      </c>
      <c r="S68" s="14" t="s">
        <v>30</v>
      </c>
      <c r="U68" s="31">
        <f t="shared" si="15"/>
        <v>5.762188724234629E-08</v>
      </c>
      <c r="V68" s="31">
        <f t="shared" si="16"/>
        <v>6.824046375726996E-09</v>
      </c>
      <c r="W68" s="31">
        <f t="shared" si="17"/>
        <v>5.6744660191513653E-08</v>
      </c>
      <c r="X68" s="31">
        <f t="shared" si="18"/>
        <v>6.720158107511358E-09</v>
      </c>
      <c r="Y68" s="119">
        <v>39114</v>
      </c>
    </row>
    <row r="69" spans="1:25" ht="25.5" customHeight="1">
      <c r="A69" s="14" t="s">
        <v>127</v>
      </c>
      <c r="B69" s="14" t="s">
        <v>128</v>
      </c>
      <c r="C69" s="15" t="s">
        <v>336</v>
      </c>
      <c r="D69" s="52"/>
      <c r="E69" s="52"/>
      <c r="F69" s="52" t="s">
        <v>561</v>
      </c>
      <c r="G69" s="52"/>
      <c r="H69" s="56"/>
      <c r="J69" s="3" t="s">
        <v>521</v>
      </c>
      <c r="K69" s="31">
        <f>K68*0.07</f>
        <v>1.0340149559923236E-09</v>
      </c>
      <c r="L69" s="91">
        <v>0.3</v>
      </c>
      <c r="M69" s="111">
        <f t="shared" si="13"/>
        <v>290131199.99999994</v>
      </c>
      <c r="N69" s="49">
        <f>W69/X69</f>
        <v>18.765606572139177</v>
      </c>
      <c r="O69" s="51">
        <v>1E-09</v>
      </c>
      <c r="P69" s="49">
        <v>0.3</v>
      </c>
      <c r="Q69" s="31">
        <f t="shared" si="14"/>
        <v>300000000</v>
      </c>
      <c r="R69" s="49">
        <f>U69/V69</f>
        <v>18.765606572139173</v>
      </c>
      <c r="S69" s="14" t="s">
        <v>522</v>
      </c>
      <c r="U69" s="31">
        <f t="shared" si="15"/>
        <v>4.574500415692535E-09</v>
      </c>
      <c r="V69" s="31">
        <f t="shared" si="16"/>
        <v>2.4377045304169285E-10</v>
      </c>
      <c r="W69" s="31">
        <f t="shared" si="17"/>
        <v>4.730101846019185E-09</v>
      </c>
      <c r="X69" s="31">
        <f t="shared" si="18"/>
        <v>2.520622942741349E-10</v>
      </c>
      <c r="Y69" s="119">
        <v>39114</v>
      </c>
    </row>
    <row r="70" spans="1:25" ht="25.5" customHeight="1">
      <c r="A70" s="14" t="s">
        <v>129</v>
      </c>
      <c r="B70" s="14" t="s">
        <v>130</v>
      </c>
      <c r="C70" s="58" t="s">
        <v>336</v>
      </c>
      <c r="D70" s="52">
        <v>1</v>
      </c>
      <c r="E70" s="52">
        <f>G70*8*8760</f>
        <v>39314880</v>
      </c>
      <c r="F70" s="52" t="s">
        <v>561</v>
      </c>
      <c r="G70" s="52">
        <v>561</v>
      </c>
      <c r="H70" s="56">
        <f>D70/E70</f>
        <v>2.54356620190625E-08</v>
      </c>
      <c r="I70" s="31">
        <f>(D70+0.5)/E70</f>
        <v>3.8153493028593754E-08</v>
      </c>
      <c r="J70" s="3" t="s">
        <v>463</v>
      </c>
      <c r="K70" s="31">
        <f>I70</f>
        <v>3.8153493028593754E-08</v>
      </c>
      <c r="L70" s="91">
        <v>0.5</v>
      </c>
      <c r="M70" s="111">
        <f t="shared" si="13"/>
        <v>13104960</v>
      </c>
      <c r="N70" s="49">
        <f>W70/X70</f>
        <v>8.443947193457866</v>
      </c>
      <c r="O70" s="51">
        <v>4E-08</v>
      </c>
      <c r="P70" s="49">
        <v>0.5</v>
      </c>
      <c r="Q70" s="31">
        <f t="shared" si="14"/>
        <v>12500000</v>
      </c>
      <c r="R70" s="49">
        <f>U70/V70</f>
        <v>8.443947193457866</v>
      </c>
      <c r="S70" s="14" t="s">
        <v>30</v>
      </c>
      <c r="U70" s="31">
        <f t="shared" si="15"/>
        <v>1.5365836597959012E-07</v>
      </c>
      <c r="V70" s="31">
        <f t="shared" si="16"/>
        <v>1.8197457001938657E-08</v>
      </c>
      <c r="W70" s="31">
        <f t="shared" si="17"/>
        <v>1.4656508487968498E-07</v>
      </c>
      <c r="X70" s="31">
        <f t="shared" si="18"/>
        <v>1.735741372154003E-08</v>
      </c>
      <c r="Y70" s="119">
        <v>39114</v>
      </c>
    </row>
    <row r="71" spans="1:25" ht="25.5" customHeight="1">
      <c r="A71" s="14" t="s">
        <v>131</v>
      </c>
      <c r="B71" s="14" t="s">
        <v>132</v>
      </c>
      <c r="C71" s="15" t="s">
        <v>336</v>
      </c>
      <c r="D71" s="52"/>
      <c r="E71" s="52"/>
      <c r="F71" s="52" t="s">
        <v>561</v>
      </c>
      <c r="G71" s="52"/>
      <c r="H71" s="56"/>
      <c r="J71" s="3" t="s">
        <v>470</v>
      </c>
      <c r="K71" s="31">
        <f>K70*0.02</f>
        <v>7.630698605718751E-10</v>
      </c>
      <c r="L71" s="91">
        <v>0.3</v>
      </c>
      <c r="M71" s="111">
        <f t="shared" si="13"/>
        <v>393148800</v>
      </c>
      <c r="N71" s="49">
        <f>W71/X71</f>
        <v>18.76560657213917</v>
      </c>
      <c r="O71" s="51">
        <v>8E-10</v>
      </c>
      <c r="P71" s="49">
        <v>0.3</v>
      </c>
      <c r="Q71" s="31">
        <f t="shared" si="14"/>
        <v>375000000</v>
      </c>
      <c r="R71" s="49">
        <f>U71/V71</f>
        <v>18.76560657213918</v>
      </c>
      <c r="S71" s="14" t="s">
        <v>465</v>
      </c>
      <c r="U71" s="31">
        <f t="shared" si="15"/>
        <v>3.659600332554029E-09</v>
      </c>
      <c r="V71" s="31">
        <f t="shared" si="16"/>
        <v>1.9501636243335426E-10</v>
      </c>
      <c r="W71" s="31">
        <f t="shared" si="17"/>
        <v>3.490663394388487E-09</v>
      </c>
      <c r="X71" s="31">
        <f t="shared" si="18"/>
        <v>1.860138856140674E-10</v>
      </c>
      <c r="Y71" s="119">
        <v>39114</v>
      </c>
    </row>
    <row r="72" spans="1:25" ht="25.5" customHeight="1">
      <c r="A72" s="14" t="s">
        <v>691</v>
      </c>
      <c r="B72" s="14" t="s">
        <v>384</v>
      </c>
      <c r="C72" s="58" t="s">
        <v>336</v>
      </c>
      <c r="D72" s="52">
        <v>7</v>
      </c>
      <c r="E72" s="52">
        <v>1767</v>
      </c>
      <c r="F72" s="52" t="s">
        <v>562</v>
      </c>
      <c r="G72" s="52">
        <v>2</v>
      </c>
      <c r="H72" s="56">
        <f>D72/E72</f>
        <v>0.003961516694963215</v>
      </c>
      <c r="I72" s="31">
        <f>(D72+0.5)/(E72+1)</f>
        <v>0.004242081447963801</v>
      </c>
      <c r="J72" s="3" t="s">
        <v>456</v>
      </c>
      <c r="K72" s="31">
        <f>I72</f>
        <v>0.004242081447963801</v>
      </c>
      <c r="L72" s="91">
        <v>0.5</v>
      </c>
      <c r="M72" s="111">
        <f t="shared" si="13"/>
        <v>117.86666666666667</v>
      </c>
      <c r="N72" s="49">
        <f t="shared" si="0"/>
        <v>8.443947193457866</v>
      </c>
      <c r="O72" s="51">
        <v>0.004</v>
      </c>
      <c r="P72" s="49">
        <v>0.5</v>
      </c>
      <c r="Q72" s="31">
        <f t="shared" si="14"/>
        <v>125</v>
      </c>
      <c r="R72" s="49">
        <f t="shared" si="1"/>
        <v>8.443947193457868</v>
      </c>
      <c r="S72" s="14" t="s">
        <v>539</v>
      </c>
      <c r="U72" s="31">
        <f t="shared" si="15"/>
        <v>0.015365836597959016</v>
      </c>
      <c r="V72" s="31">
        <f t="shared" si="16"/>
        <v>0.0018197457001938658</v>
      </c>
      <c r="W72" s="31">
        <f t="shared" si="17"/>
        <v>0.01629578259116128</v>
      </c>
      <c r="X72" s="31">
        <f t="shared" si="18"/>
        <v>0.0019298773687010736</v>
      </c>
      <c r="Y72" s="119">
        <v>39114</v>
      </c>
    </row>
    <row r="73" spans="1:25" ht="25.5" customHeight="1">
      <c r="A73" s="14" t="s">
        <v>692</v>
      </c>
      <c r="B73" s="14" t="s">
        <v>385</v>
      </c>
      <c r="C73" s="58" t="s">
        <v>336</v>
      </c>
      <c r="D73" s="52">
        <v>1</v>
      </c>
      <c r="E73" s="52">
        <v>6162</v>
      </c>
      <c r="F73" s="52" t="s">
        <v>561</v>
      </c>
      <c r="G73" s="52">
        <v>2</v>
      </c>
      <c r="H73" s="56">
        <f>D73/E73</f>
        <v>0.0001622849724115547</v>
      </c>
      <c r="I73" s="31">
        <f>(D73+0.5)/E73</f>
        <v>0.00024342745861733204</v>
      </c>
      <c r="J73" s="3" t="s">
        <v>463</v>
      </c>
      <c r="K73" s="31">
        <f>I73</f>
        <v>0.00024342745861733204</v>
      </c>
      <c r="L73" s="91">
        <v>0.5</v>
      </c>
      <c r="M73" s="111">
        <f t="shared" si="13"/>
        <v>2054</v>
      </c>
      <c r="N73" s="49">
        <f t="shared" si="0"/>
        <v>8.443947193457866</v>
      </c>
      <c r="O73" s="51">
        <v>0.00025</v>
      </c>
      <c r="P73" s="49">
        <v>0.5</v>
      </c>
      <c r="Q73" s="31">
        <f t="shared" si="14"/>
        <v>2000</v>
      </c>
      <c r="R73" s="49">
        <f t="shared" si="1"/>
        <v>8.443947193457868</v>
      </c>
      <c r="S73" s="14" t="s">
        <v>539</v>
      </c>
      <c r="U73" s="31">
        <f t="shared" si="15"/>
        <v>0.0009603647873724385</v>
      </c>
      <c r="V73" s="31">
        <f t="shared" si="16"/>
        <v>0.00011373410626211661</v>
      </c>
      <c r="W73" s="31">
        <f t="shared" si="17"/>
        <v>0.0009351166381425884</v>
      </c>
      <c r="X73" s="31">
        <f t="shared" si="18"/>
        <v>0.00011074401778200254</v>
      </c>
      <c r="Y73" s="119">
        <v>39114</v>
      </c>
    </row>
    <row r="74" spans="1:25" ht="25.5" customHeight="1">
      <c r="A74" s="14" t="s">
        <v>693</v>
      </c>
      <c r="B74" s="14" t="s">
        <v>386</v>
      </c>
      <c r="C74" s="58" t="s">
        <v>336</v>
      </c>
      <c r="D74" s="52">
        <v>6</v>
      </c>
      <c r="E74" s="52">
        <v>3322</v>
      </c>
      <c r="F74" s="52" t="s">
        <v>562</v>
      </c>
      <c r="G74" s="52">
        <v>2</v>
      </c>
      <c r="H74" s="56">
        <f>D74/E74</f>
        <v>0.001806140878988561</v>
      </c>
      <c r="I74" s="31">
        <f>(D74+0.5)/(E74+1)</f>
        <v>0.001956063797773097</v>
      </c>
      <c r="J74" s="3" t="s">
        <v>456</v>
      </c>
      <c r="K74" s="31">
        <f>I74</f>
        <v>0.001956063797773097</v>
      </c>
      <c r="L74" s="91">
        <v>0.5</v>
      </c>
      <c r="M74" s="111">
        <f>L74*(1-K74)/K74</f>
        <v>255.11538461538458</v>
      </c>
      <c r="N74" s="49">
        <f t="shared" si="0"/>
        <v>8.415964254768292</v>
      </c>
      <c r="O74" s="51">
        <v>0.002</v>
      </c>
      <c r="P74" s="49">
        <v>0.5</v>
      </c>
      <c r="Q74" s="31">
        <f>P74*(1-O74)/O74</f>
        <v>249.5</v>
      </c>
      <c r="R74" s="49">
        <f t="shared" si="1"/>
        <v>8.415347232148326</v>
      </c>
      <c r="S74" s="14" t="s">
        <v>539</v>
      </c>
      <c r="U74" s="31">
        <f>BETAINV(0.95,P74,Q74)</f>
        <v>0.007676422595977783</v>
      </c>
      <c r="V74" s="31">
        <f>BETAINV(0.5,P74,Q74)</f>
        <v>0.0009121932089328766</v>
      </c>
      <c r="W74" s="31">
        <f>BETAINV(0.95,L74,M74)</f>
        <v>0.007507920265197754</v>
      </c>
      <c r="X74" s="31">
        <f>BETAINV(0.5,L74,M74)</f>
        <v>0.0008921045809984207</v>
      </c>
      <c r="Y74" s="119">
        <v>39114</v>
      </c>
    </row>
    <row r="75" spans="1:25" ht="25.5" customHeight="1">
      <c r="A75" s="54" t="s">
        <v>639</v>
      </c>
      <c r="B75" s="54" t="s">
        <v>640</v>
      </c>
      <c r="C75" s="58" t="s">
        <v>336</v>
      </c>
      <c r="D75" s="60">
        <v>20</v>
      </c>
      <c r="E75" s="60">
        <f>G75*5*8760</f>
        <v>31229400</v>
      </c>
      <c r="F75" s="60" t="s">
        <v>561</v>
      </c>
      <c r="G75" s="60">
        <v>713</v>
      </c>
      <c r="H75" s="56">
        <f>D75/E75</f>
        <v>6.404221662920197E-07</v>
      </c>
      <c r="I75" s="31">
        <f>(D75+0.5)/(E75+1)</f>
        <v>6.564326994296177E-07</v>
      </c>
      <c r="J75" s="15" t="s">
        <v>661</v>
      </c>
      <c r="K75" s="56">
        <v>6.45E-07</v>
      </c>
      <c r="L75" s="92">
        <v>1.416</v>
      </c>
      <c r="M75" s="111">
        <f aca="true" t="shared" si="19" ref="M75:M81">L75/K75</f>
        <v>2195348.8372093025</v>
      </c>
      <c r="N75" s="49">
        <f t="shared" si="0"/>
        <v>3.418396400613811</v>
      </c>
      <c r="O75" s="59">
        <v>6E-07</v>
      </c>
      <c r="P75" s="57">
        <v>1.5</v>
      </c>
      <c r="Q75" s="56">
        <f aca="true" t="shared" si="20" ref="Q75:Q81">P75/O75</f>
        <v>2500000</v>
      </c>
      <c r="R75" s="49">
        <f t="shared" si="1"/>
        <v>3.3029644950713464</v>
      </c>
      <c r="S75" s="54" t="s">
        <v>641</v>
      </c>
      <c r="U75" s="31">
        <f aca="true" t="shared" si="21" ref="U75:U81">GAMMAINV(0.95,P75,1/Q75)</f>
        <v>1.562945552789973E-06</v>
      </c>
      <c r="V75" s="31">
        <f aca="true" t="shared" si="22" ref="V75:V81">GAMMAINV(0.5,P75,1/Q75)</f>
        <v>4.7319477854581425E-07</v>
      </c>
      <c r="W75" s="31">
        <f aca="true" t="shared" si="23" ref="W75:W81">GAMMAINV(0.95,L75,1/M75)</f>
        <v>1.713029798449848E-06</v>
      </c>
      <c r="X75" s="31">
        <f aca="true" t="shared" si="24" ref="X75:X81">GAMMAINV(0.5,L75,1/M75)</f>
        <v>5.01120875900248E-07</v>
      </c>
      <c r="Y75" s="119">
        <v>39114</v>
      </c>
    </row>
    <row r="76" spans="1:25" ht="25.5" customHeight="1">
      <c r="A76" s="54" t="s">
        <v>694</v>
      </c>
      <c r="B76" s="54" t="s">
        <v>543</v>
      </c>
      <c r="C76" s="58" t="s">
        <v>336</v>
      </c>
      <c r="D76" s="60">
        <v>2</v>
      </c>
      <c r="E76" s="60">
        <f>G76*8*8760</f>
        <v>49967040</v>
      </c>
      <c r="F76" s="60" t="s">
        <v>561</v>
      </c>
      <c r="G76" s="60">
        <v>713</v>
      </c>
      <c r="H76" s="56">
        <f>D76/E76</f>
        <v>4.002638539325123E-08</v>
      </c>
      <c r="I76" s="31">
        <f>(D76+0.5)/(E76+1)</f>
        <v>5.0032980740244356E-08</v>
      </c>
      <c r="J76" s="15" t="s">
        <v>542</v>
      </c>
      <c r="K76" s="56">
        <f>I76</f>
        <v>5.0032980740244356E-08</v>
      </c>
      <c r="L76" s="92">
        <v>0.5</v>
      </c>
      <c r="M76" s="111">
        <f t="shared" si="19"/>
        <v>9993408.2</v>
      </c>
      <c r="N76" s="49">
        <f>W76/X76</f>
        <v>8.443947193457864</v>
      </c>
      <c r="O76" s="59">
        <v>5E-08</v>
      </c>
      <c r="P76" s="57">
        <v>0.5</v>
      </c>
      <c r="Q76" s="56">
        <f t="shared" si="20"/>
        <v>10000000</v>
      </c>
      <c r="R76" s="49">
        <f>U76/V76</f>
        <v>8.443947193457864</v>
      </c>
      <c r="S76" s="14" t="s">
        <v>30</v>
      </c>
      <c r="U76" s="31">
        <f t="shared" si="21"/>
        <v>1.920729574744876E-07</v>
      </c>
      <c r="V76" s="31">
        <f t="shared" si="22"/>
        <v>2.274682125242332E-08</v>
      </c>
      <c r="W76" s="31">
        <f t="shared" si="23"/>
        <v>1.9219965164085628E-07</v>
      </c>
      <c r="X76" s="31">
        <f t="shared" si="24"/>
        <v>2.2761825392485543E-08</v>
      </c>
      <c r="Y76" s="119">
        <v>39114</v>
      </c>
    </row>
    <row r="77" spans="1:25" ht="25.5" customHeight="1">
      <c r="A77" s="54" t="s">
        <v>695</v>
      </c>
      <c r="B77" s="54" t="s">
        <v>544</v>
      </c>
      <c r="C77" s="58" t="s">
        <v>336</v>
      </c>
      <c r="D77" s="60"/>
      <c r="E77" s="60"/>
      <c r="F77" s="60" t="s">
        <v>561</v>
      </c>
      <c r="G77" s="60"/>
      <c r="H77" s="56"/>
      <c r="J77" s="3" t="s">
        <v>521</v>
      </c>
      <c r="K77" s="31">
        <f>K76*0.07</f>
        <v>3.5023086518171054E-09</v>
      </c>
      <c r="L77" s="91">
        <v>0.3</v>
      </c>
      <c r="M77" s="111">
        <f t="shared" si="19"/>
        <v>85657784.57142855</v>
      </c>
      <c r="N77" s="49">
        <f>W77/X77</f>
        <v>18.765606572139177</v>
      </c>
      <c r="O77" s="59">
        <v>4E-09</v>
      </c>
      <c r="P77" s="57">
        <v>0.3</v>
      </c>
      <c r="Q77" s="56">
        <f t="shared" si="20"/>
        <v>75000000</v>
      </c>
      <c r="R77" s="49">
        <f>U77/V77</f>
        <v>18.765606572139173</v>
      </c>
      <c r="S77" s="14" t="s">
        <v>522</v>
      </c>
      <c r="U77" s="31">
        <f t="shared" si="21"/>
        <v>1.829800166277014E-08</v>
      </c>
      <c r="V77" s="31">
        <f t="shared" si="22"/>
        <v>9.750818121667714E-10</v>
      </c>
      <c r="W77" s="31">
        <f t="shared" si="23"/>
        <v>1.6021312383620913E-08</v>
      </c>
      <c r="X77" s="31">
        <f t="shared" si="24"/>
        <v>8.537593667452962E-10</v>
      </c>
      <c r="Y77" s="119">
        <v>39114</v>
      </c>
    </row>
    <row r="78" spans="1:25" ht="25.5" customHeight="1">
      <c r="A78" s="54" t="s">
        <v>696</v>
      </c>
      <c r="B78" s="54" t="s">
        <v>545</v>
      </c>
      <c r="C78" s="58" t="s">
        <v>336</v>
      </c>
      <c r="D78" s="60">
        <v>10</v>
      </c>
      <c r="E78" s="60">
        <f>G78*8*8760</f>
        <v>49967040</v>
      </c>
      <c r="F78" s="60" t="s">
        <v>561</v>
      </c>
      <c r="G78" s="60">
        <v>713</v>
      </c>
      <c r="H78" s="56">
        <f>D78/E78</f>
        <v>2.0013192696625615E-07</v>
      </c>
      <c r="I78" s="31">
        <f>(D78+0.5)/(E78+1)</f>
        <v>2.101385191090263E-07</v>
      </c>
      <c r="J78" s="15" t="s">
        <v>461</v>
      </c>
      <c r="K78" s="56">
        <v>2.32E-07</v>
      </c>
      <c r="L78" s="92">
        <v>0.3</v>
      </c>
      <c r="M78" s="111">
        <f t="shared" si="19"/>
        <v>1293103.448275862</v>
      </c>
      <c r="N78" s="49">
        <f>W78/X78</f>
        <v>18.765606572139177</v>
      </c>
      <c r="O78" s="59">
        <v>2.5E-07</v>
      </c>
      <c r="P78" s="57">
        <v>0.3</v>
      </c>
      <c r="Q78" s="56">
        <f t="shared" si="20"/>
        <v>1200000</v>
      </c>
      <c r="R78" s="49">
        <f>U78/V78</f>
        <v>18.765606572139177</v>
      </c>
      <c r="S78" s="14" t="s">
        <v>30</v>
      </c>
      <c r="U78" s="31">
        <f t="shared" si="21"/>
        <v>1.1436251039231338E-06</v>
      </c>
      <c r="V78" s="31">
        <f t="shared" si="22"/>
        <v>6.094261326042321E-08</v>
      </c>
      <c r="W78" s="31">
        <f t="shared" si="23"/>
        <v>1.0612840964406683E-06</v>
      </c>
      <c r="X78" s="31">
        <f t="shared" si="24"/>
        <v>5.655474510567274E-08</v>
      </c>
      <c r="Y78" s="119">
        <v>39114</v>
      </c>
    </row>
    <row r="79" spans="1:25" ht="25.5" customHeight="1">
      <c r="A79" s="54" t="s">
        <v>697</v>
      </c>
      <c r="B79" s="54" t="s">
        <v>546</v>
      </c>
      <c r="C79" s="58" t="s">
        <v>336</v>
      </c>
      <c r="D79" s="60"/>
      <c r="E79" s="60"/>
      <c r="F79" s="60" t="s">
        <v>561</v>
      </c>
      <c r="G79" s="60"/>
      <c r="H79" s="56"/>
      <c r="J79" s="3" t="s">
        <v>642</v>
      </c>
      <c r="K79" s="56">
        <f>K78*0.15</f>
        <v>3.48E-08</v>
      </c>
      <c r="L79" s="92">
        <v>0.3</v>
      </c>
      <c r="M79" s="111">
        <f t="shared" si="19"/>
        <v>8620689.655172413</v>
      </c>
      <c r="N79" s="49">
        <f>W79/X79</f>
        <v>18.765606572139173</v>
      </c>
      <c r="O79" s="59">
        <v>3E-08</v>
      </c>
      <c r="P79" s="57">
        <v>0.3</v>
      </c>
      <c r="Q79" s="56">
        <f t="shared" si="20"/>
        <v>10000000</v>
      </c>
      <c r="R79" s="49">
        <f>U79/V79</f>
        <v>18.76560657213917</v>
      </c>
      <c r="S79" s="14" t="s">
        <v>643</v>
      </c>
      <c r="U79" s="31">
        <f t="shared" si="21"/>
        <v>1.3723501247077603E-07</v>
      </c>
      <c r="V79" s="31">
        <f t="shared" si="22"/>
        <v>7.3131135912507854E-09</v>
      </c>
      <c r="W79" s="31">
        <f t="shared" si="23"/>
        <v>1.5919261446610025E-07</v>
      </c>
      <c r="X79" s="31">
        <f t="shared" si="24"/>
        <v>8.483211765850912E-09</v>
      </c>
      <c r="Y79" s="119">
        <v>39114</v>
      </c>
    </row>
    <row r="80" spans="1:25" ht="25.5" customHeight="1">
      <c r="A80" s="54" t="s">
        <v>95</v>
      </c>
      <c r="B80" s="54" t="s">
        <v>96</v>
      </c>
      <c r="C80" s="58" t="s">
        <v>336</v>
      </c>
      <c r="D80" s="60">
        <v>153</v>
      </c>
      <c r="E80" s="60">
        <f>G80*5*8760</f>
        <v>27944400</v>
      </c>
      <c r="F80" s="60" t="s">
        <v>561</v>
      </c>
      <c r="G80" s="60">
        <v>638</v>
      </c>
      <c r="H80" s="56">
        <f aca="true" t="shared" si="25" ref="H80:H85">D80/E80</f>
        <v>5.4751578133722675E-06</v>
      </c>
      <c r="I80" s="31">
        <f>(D80+0.5)/(E80+1)</f>
        <v>5.493050289394287E-06</v>
      </c>
      <c r="J80" s="3" t="s">
        <v>348</v>
      </c>
      <c r="K80" s="56">
        <v>5.28E-06</v>
      </c>
      <c r="L80" s="92">
        <v>1.203</v>
      </c>
      <c r="M80" s="111">
        <f t="shared" si="19"/>
        <v>227840.9090909091</v>
      </c>
      <c r="N80" s="49">
        <f aca="true" t="shared" si="26" ref="N80:N85">W80/X80</f>
        <v>3.791983277004923</v>
      </c>
      <c r="O80" s="59">
        <v>5E-06</v>
      </c>
      <c r="P80" s="57">
        <v>1.2</v>
      </c>
      <c r="Q80" s="56">
        <f t="shared" si="20"/>
        <v>239999.99999999997</v>
      </c>
      <c r="R80" s="49">
        <f aca="true" t="shared" si="27" ref="R80:R85">U80/V80</f>
        <v>3.7983170103225383</v>
      </c>
      <c r="S80" s="54"/>
      <c r="U80" s="31">
        <f t="shared" si="21"/>
        <v>1.4052763496272613E-05</v>
      </c>
      <c r="V80" s="31">
        <f t="shared" si="22"/>
        <v>3.6997342396861464E-06</v>
      </c>
      <c r="W80" s="31">
        <f t="shared" si="23"/>
        <v>1.4826901603055205E-05</v>
      </c>
      <c r="X80" s="31">
        <f t="shared" si="24"/>
        <v>3.910065134771942E-06</v>
      </c>
      <c r="Y80" s="119">
        <v>39114</v>
      </c>
    </row>
    <row r="81" spans="1:25" ht="25.5" customHeight="1">
      <c r="A81" s="14" t="s">
        <v>698</v>
      </c>
      <c r="B81" s="14" t="s">
        <v>84</v>
      </c>
      <c r="C81" s="58" t="s">
        <v>336</v>
      </c>
      <c r="D81" s="52">
        <v>158</v>
      </c>
      <c r="E81" s="52">
        <v>1989420</v>
      </c>
      <c r="F81" s="52" t="s">
        <v>561</v>
      </c>
      <c r="G81" s="52">
        <v>77</v>
      </c>
      <c r="H81" s="56">
        <f t="shared" si="25"/>
        <v>7.942013250092991E-05</v>
      </c>
      <c r="I81" s="31">
        <f>(D81+0.5)/E81</f>
        <v>7.96714620341607E-05</v>
      </c>
      <c r="J81" s="3" t="s">
        <v>348</v>
      </c>
      <c r="K81" s="31">
        <v>9.16E-05</v>
      </c>
      <c r="L81" s="91">
        <v>1.423</v>
      </c>
      <c r="M81" s="111">
        <f t="shared" si="19"/>
        <v>15534.934497816594</v>
      </c>
      <c r="N81" s="49">
        <f t="shared" si="26"/>
        <v>3.4082095514994903</v>
      </c>
      <c r="O81" s="51">
        <v>9E-05</v>
      </c>
      <c r="P81" s="49">
        <v>1.5</v>
      </c>
      <c r="Q81" s="31">
        <f t="shared" si="20"/>
        <v>16666.666666666664</v>
      </c>
      <c r="R81" s="49">
        <f t="shared" si="27"/>
        <v>3.302964495071347</v>
      </c>
      <c r="U81" s="31">
        <f t="shared" si="21"/>
        <v>0.000234441832918496</v>
      </c>
      <c r="V81" s="31">
        <f t="shared" si="22"/>
        <v>7.097921678187214E-05</v>
      </c>
      <c r="W81" s="31">
        <f t="shared" si="23"/>
        <v>0.00024287211945811396</v>
      </c>
      <c r="X81" s="31">
        <f t="shared" si="24"/>
        <v>7.126091156902571E-05</v>
      </c>
      <c r="Y81" s="119">
        <v>39114</v>
      </c>
    </row>
    <row r="82" spans="1:25" ht="25.5" customHeight="1">
      <c r="A82" s="14" t="s">
        <v>699</v>
      </c>
      <c r="B82" s="14" t="s">
        <v>85</v>
      </c>
      <c r="C82" s="58" t="s">
        <v>336</v>
      </c>
      <c r="D82" s="52">
        <v>36</v>
      </c>
      <c r="E82" s="52">
        <v>8980</v>
      </c>
      <c r="F82" s="52" t="s">
        <v>562</v>
      </c>
      <c r="G82" s="52">
        <v>77</v>
      </c>
      <c r="H82" s="56">
        <f t="shared" si="25"/>
        <v>0.004008908685968819</v>
      </c>
      <c r="I82" s="31">
        <f>(D82+0.5)/(E82+1)</f>
        <v>0.004064135396949115</v>
      </c>
      <c r="J82" s="3" t="s">
        <v>355</v>
      </c>
      <c r="K82" s="31">
        <v>0.0133</v>
      </c>
      <c r="L82" s="91">
        <v>0.364</v>
      </c>
      <c r="M82" s="111">
        <f>L82*(1-K82)/K82</f>
        <v>27.00442105263158</v>
      </c>
      <c r="N82" s="49">
        <f t="shared" si="26"/>
        <v>12.926427784836934</v>
      </c>
      <c r="O82" s="51">
        <v>0.012</v>
      </c>
      <c r="P82" s="49">
        <v>0.4</v>
      </c>
      <c r="Q82" s="31">
        <f>P82*(1-O82)/O82</f>
        <v>32.93333333333333</v>
      </c>
      <c r="R82" s="49">
        <f t="shared" si="27"/>
        <v>11.19327584295519</v>
      </c>
      <c r="U82" s="31">
        <f>BETAINV(0.95,P82,Q82)</f>
        <v>0.049649715423583984</v>
      </c>
      <c r="V82" s="31">
        <f>BETAINV(0.5,P82,Q82)</f>
        <v>0.004435673356056213</v>
      </c>
      <c r="W82" s="31">
        <f>BETAINV(0.95,L82,M82)</f>
        <v>0.05684661865234375</v>
      </c>
      <c r="X82" s="31">
        <f>BETAINV(0.5,L82,M82)</f>
        <v>0.0043977051973342896</v>
      </c>
      <c r="Y82" s="119">
        <v>39114</v>
      </c>
    </row>
    <row r="83" spans="1:25" ht="25.5" customHeight="1">
      <c r="A83" s="14" t="s">
        <v>700</v>
      </c>
      <c r="B83" s="14" t="s">
        <v>86</v>
      </c>
      <c r="C83" s="58" t="s">
        <v>336</v>
      </c>
      <c r="D83" s="52">
        <v>3</v>
      </c>
      <c r="E83" s="52">
        <v>939</v>
      </c>
      <c r="F83" s="52" t="s">
        <v>561</v>
      </c>
      <c r="G83" s="52">
        <v>5</v>
      </c>
      <c r="H83" s="56">
        <f t="shared" si="25"/>
        <v>0.003194888178913738</v>
      </c>
      <c r="I83" s="31">
        <f>(D83+0.5)/E83</f>
        <v>0.003727369542066028</v>
      </c>
      <c r="J83" s="3" t="s">
        <v>461</v>
      </c>
      <c r="K83" s="31">
        <v>0.00314</v>
      </c>
      <c r="L83" s="91">
        <v>0.3</v>
      </c>
      <c r="M83" s="111">
        <f>L83/K83</f>
        <v>95.54140127388534</v>
      </c>
      <c r="N83" s="49">
        <f t="shared" si="26"/>
        <v>18.76560657213918</v>
      </c>
      <c r="O83" s="51">
        <v>0.003</v>
      </c>
      <c r="P83" s="49">
        <v>0.3</v>
      </c>
      <c r="Q83" s="31">
        <f>P83/O83</f>
        <v>100</v>
      </c>
      <c r="R83" s="49">
        <f t="shared" si="27"/>
        <v>18.765606572139177</v>
      </c>
      <c r="U83" s="31">
        <f>GAMMAINV(0.95,P83,1/Q83)</f>
        <v>0.013723501247077607</v>
      </c>
      <c r="V83" s="31">
        <f>GAMMAINV(0.5,P83,1/Q83)</f>
        <v>0.0007313113591250785</v>
      </c>
      <c r="W83" s="31">
        <f>GAMMAINV(0.95,L83,1/M83)</f>
        <v>0.014363931305274566</v>
      </c>
      <c r="X83" s="31">
        <f>GAMMAINV(0.5,L83,1/M83)</f>
        <v>0.0007654392225509156</v>
      </c>
      <c r="Y83" s="119">
        <v>39114</v>
      </c>
    </row>
    <row r="84" spans="1:25" ht="25.5" customHeight="1">
      <c r="A84" s="14" t="s">
        <v>701</v>
      </c>
      <c r="B84" s="14" t="s">
        <v>87</v>
      </c>
      <c r="C84" s="58" t="s">
        <v>336</v>
      </c>
      <c r="D84" s="49">
        <v>17.9</v>
      </c>
      <c r="E84" s="52">
        <v>10999</v>
      </c>
      <c r="F84" s="52" t="s">
        <v>561</v>
      </c>
      <c r="G84" s="52">
        <v>28</v>
      </c>
      <c r="H84" s="56">
        <f t="shared" si="25"/>
        <v>0.0016274206746067824</v>
      </c>
      <c r="I84" s="31">
        <f>(D84+0.5)/E84</f>
        <v>0.0016728793526684244</v>
      </c>
      <c r="J84" s="3" t="s">
        <v>348</v>
      </c>
      <c r="K84" s="31">
        <v>0.00262</v>
      </c>
      <c r="L84" s="91">
        <v>1.696</v>
      </c>
      <c r="M84" s="111">
        <f>L84/K84</f>
        <v>647.3282442748092</v>
      </c>
      <c r="N84" s="49">
        <f t="shared" si="26"/>
        <v>3.081065142355123</v>
      </c>
      <c r="O84" s="51">
        <v>0.0025</v>
      </c>
      <c r="P84" s="49">
        <v>1.5</v>
      </c>
      <c r="Q84" s="31">
        <f>P84/O84</f>
        <v>600</v>
      </c>
      <c r="R84" s="49">
        <f t="shared" si="27"/>
        <v>3.302964495071346</v>
      </c>
      <c r="U84" s="31">
        <f>GAMMAINV(0.95,P84,1/Q84)</f>
        <v>0.0065122731366248875</v>
      </c>
      <c r="V84" s="31">
        <f>GAMMAINV(0.5,P84,1/Q84)</f>
        <v>0.0019716449106075597</v>
      </c>
      <c r="W84" s="31">
        <f>GAMMAINV(0.95,L84,1/M84)</f>
        <v>0.006553109746226129</v>
      </c>
      <c r="X84" s="31">
        <f>GAMMAINV(0.5,L84,1/M84)</f>
        <v>0.0021268974992255515</v>
      </c>
      <c r="Y84" s="119">
        <v>39114</v>
      </c>
    </row>
    <row r="85" spans="1:25" ht="25.5" customHeight="1">
      <c r="A85" s="14" t="s">
        <v>702</v>
      </c>
      <c r="B85" s="14" t="s">
        <v>88</v>
      </c>
      <c r="C85" s="58" t="s">
        <v>336</v>
      </c>
      <c r="D85" s="52">
        <v>15</v>
      </c>
      <c r="E85" s="52">
        <v>2150</v>
      </c>
      <c r="F85" s="52" t="s">
        <v>562</v>
      </c>
      <c r="G85" s="52">
        <v>33</v>
      </c>
      <c r="H85" s="56">
        <f t="shared" si="25"/>
        <v>0.0069767441860465115</v>
      </c>
      <c r="I85" s="31">
        <f>(D85+0.5)/(E85+1)</f>
        <v>0.007205950720595072</v>
      </c>
      <c r="J85" s="3" t="s">
        <v>355</v>
      </c>
      <c r="K85" s="31">
        <v>0.00713</v>
      </c>
      <c r="L85" s="91">
        <v>0.476</v>
      </c>
      <c r="M85" s="111">
        <f>L85*(1-K85)/K85</f>
        <v>66.2841683029453</v>
      </c>
      <c r="N85" s="49">
        <f t="shared" si="26"/>
        <v>8.875998562688439</v>
      </c>
      <c r="O85" s="51">
        <v>0.007</v>
      </c>
      <c r="P85" s="49">
        <v>0.5</v>
      </c>
      <c r="Q85" s="31">
        <f>P85*(1-O85)/O85</f>
        <v>70.92857142857143</v>
      </c>
      <c r="R85" s="49">
        <f t="shared" si="27"/>
        <v>8.343586961058476</v>
      </c>
      <c r="U85" s="31">
        <f>BETAINV(0.95,P85,Q85)</f>
        <v>0.026809215545654297</v>
      </c>
      <c r="V85" s="31">
        <f>BETAINV(0.5,P85,Q85)</f>
        <v>0.003213152289390564</v>
      </c>
      <c r="W85" s="31">
        <f>BETAINV(0.95,L85,M85)</f>
        <v>0.027790307998657227</v>
      </c>
      <c r="X85" s="31">
        <f>BETAINV(0.5,L85,M85)</f>
        <v>0.0031309500336647034</v>
      </c>
      <c r="Y85" s="119">
        <v>39114</v>
      </c>
    </row>
    <row r="86" spans="1:25" ht="25.5" customHeight="1">
      <c r="A86" s="14" t="s">
        <v>703</v>
      </c>
      <c r="B86" s="14" t="s">
        <v>387</v>
      </c>
      <c r="C86" s="58" t="s">
        <v>336</v>
      </c>
      <c r="D86" s="52">
        <v>87</v>
      </c>
      <c r="E86" s="52">
        <v>19572488</v>
      </c>
      <c r="F86" s="52" t="s">
        <v>561</v>
      </c>
      <c r="G86" s="52">
        <v>758</v>
      </c>
      <c r="H86" s="56">
        <f aca="true" t="shared" si="28" ref="H86:H94">D86/E86</f>
        <v>4.445014859633584E-06</v>
      </c>
      <c r="I86" s="31">
        <f>(D86+0.5)/E86</f>
        <v>4.470560922045271E-06</v>
      </c>
      <c r="J86" s="3" t="s">
        <v>348</v>
      </c>
      <c r="K86" s="31">
        <v>4.54E-06</v>
      </c>
      <c r="L86" s="91">
        <v>1.655</v>
      </c>
      <c r="M86" s="111">
        <f>L86/K86</f>
        <v>364537.44493392075</v>
      </c>
      <c r="N86" s="49">
        <f t="shared" si="0"/>
        <v>3.122871905923519</v>
      </c>
      <c r="O86" s="51">
        <v>5E-06</v>
      </c>
      <c r="P86" s="49">
        <v>1.5</v>
      </c>
      <c r="Q86" s="31">
        <f>P86/O86</f>
        <v>300000</v>
      </c>
      <c r="R86" s="49">
        <f t="shared" si="1"/>
        <v>3.302964495071347</v>
      </c>
      <c r="U86" s="31">
        <f>GAMMAINV(0.95,P86,1/Q86)</f>
        <v>1.3024546273249776E-05</v>
      </c>
      <c r="V86" s="31">
        <f>GAMMAINV(0.5,P86,1/Q86)</f>
        <v>3.943289821215119E-06</v>
      </c>
      <c r="W86" s="31">
        <f>GAMMAINV(0.95,L86,1/M86)</f>
        <v>1.1446869797937328E-05</v>
      </c>
      <c r="X86" s="31">
        <f>GAMMAINV(0.5,L86,1/M86)</f>
        <v>3.6654945008230092E-06</v>
      </c>
      <c r="Y86" s="119">
        <v>39114</v>
      </c>
    </row>
    <row r="87" spans="1:25" ht="25.5" customHeight="1">
      <c r="A87" s="14" t="s">
        <v>704</v>
      </c>
      <c r="B87" s="14" t="s">
        <v>388</v>
      </c>
      <c r="C87" s="58" t="s">
        <v>336</v>
      </c>
      <c r="D87" s="52">
        <v>132</v>
      </c>
      <c r="E87" s="52">
        <v>75048</v>
      </c>
      <c r="F87" s="52" t="s">
        <v>562</v>
      </c>
      <c r="G87" s="52">
        <v>758</v>
      </c>
      <c r="H87" s="56">
        <f t="shared" si="28"/>
        <v>0.0017588743204349215</v>
      </c>
      <c r="I87" s="31">
        <f>(D87+0.5)/(E87+1)</f>
        <v>0.0017655131980439445</v>
      </c>
      <c r="J87" s="3" t="s">
        <v>355</v>
      </c>
      <c r="K87" s="31">
        <v>0.00223</v>
      </c>
      <c r="L87" s="91">
        <v>0.881</v>
      </c>
      <c r="M87" s="111">
        <f>L87*(1-K87)/K87</f>
        <v>394.186264573991</v>
      </c>
      <c r="N87" s="49">
        <f t="shared" si="0"/>
        <v>4.758945601296284</v>
      </c>
      <c r="O87" s="51">
        <v>0.002</v>
      </c>
      <c r="P87" s="49">
        <v>0.9</v>
      </c>
      <c r="Q87" s="31">
        <f>P87*(1-O87)/O87</f>
        <v>449.09999999999997</v>
      </c>
      <c r="R87" s="49">
        <f t="shared" si="1"/>
        <v>4.678925178197241</v>
      </c>
      <c r="U87" s="31">
        <f>BETAINV(0.95,P87,Q87)</f>
        <v>0.00621369481086731</v>
      </c>
      <c r="V87" s="31">
        <f>BETAINV(0.5,P87,Q87)</f>
        <v>0.0013280175626277924</v>
      </c>
      <c r="W87" s="31">
        <f>BETAINV(0.95,L87,M87)</f>
        <v>0.006980419158935547</v>
      </c>
      <c r="X87" s="31">
        <f>BETAINV(0.5,L87,M87)</f>
        <v>0.0014667995274066925</v>
      </c>
      <c r="Y87" s="119">
        <v>39114</v>
      </c>
    </row>
    <row r="88" spans="1:25" ht="25.5" customHeight="1">
      <c r="A88" s="14" t="s">
        <v>705</v>
      </c>
      <c r="B88" s="14" t="s">
        <v>747</v>
      </c>
      <c r="C88" s="58" t="s">
        <v>336</v>
      </c>
      <c r="D88" s="52">
        <v>12</v>
      </c>
      <c r="E88" s="52">
        <v>32495</v>
      </c>
      <c r="F88" s="52" t="s">
        <v>561</v>
      </c>
      <c r="G88" s="52">
        <v>437</v>
      </c>
      <c r="H88" s="56">
        <f t="shared" si="28"/>
        <v>0.00036928758270503157</v>
      </c>
      <c r="I88" s="31">
        <f>(D88+0.5)/E88</f>
        <v>0.0003846745653177412</v>
      </c>
      <c r="J88" s="3" t="s">
        <v>348</v>
      </c>
      <c r="K88" s="31">
        <v>0.000378</v>
      </c>
      <c r="L88" s="91">
        <v>1.703</v>
      </c>
      <c r="M88" s="111">
        <f>L88/K88</f>
        <v>4505.291005291006</v>
      </c>
      <c r="N88" s="49">
        <f t="shared" si="0"/>
        <v>3.0741390511584754</v>
      </c>
      <c r="O88" s="51">
        <v>0.0004</v>
      </c>
      <c r="P88" s="49">
        <v>1.5</v>
      </c>
      <c r="Q88" s="31">
        <f>P88/O88</f>
        <v>3750</v>
      </c>
      <c r="R88" s="49">
        <f t="shared" si="1"/>
        <v>3.302964495071346</v>
      </c>
      <c r="U88" s="31">
        <f>GAMMAINV(0.95,P88,1/Q88)</f>
        <v>0.001041963701859982</v>
      </c>
      <c r="V88" s="31">
        <f>GAMMAINV(0.5,P88,1/Q88)</f>
        <v>0.00031546318569720955</v>
      </c>
      <c r="W88" s="31">
        <f>GAMMAINV(0.95,L88,1/M88)</f>
        <v>0.000944176124543377</v>
      </c>
      <c r="X88" s="31">
        <f>GAMMAINV(0.5,L88,1/M88)</f>
        <v>0.00030713513892208894</v>
      </c>
      <c r="Y88" s="119">
        <v>39114</v>
      </c>
    </row>
    <row r="89" spans="1:25" ht="25.5" customHeight="1">
      <c r="A89" s="14" t="s">
        <v>706</v>
      </c>
      <c r="B89" s="14" t="s">
        <v>748</v>
      </c>
      <c r="C89" s="58" t="s">
        <v>336</v>
      </c>
      <c r="D89" s="49">
        <v>2.8</v>
      </c>
      <c r="E89" s="52">
        <v>568826</v>
      </c>
      <c r="F89" s="52" t="s">
        <v>561</v>
      </c>
      <c r="G89" s="52">
        <v>450</v>
      </c>
      <c r="H89" s="56">
        <f t="shared" si="28"/>
        <v>4.922419158055363E-06</v>
      </c>
      <c r="I89" s="31">
        <f>(D89+0.5)/E89</f>
        <v>5.801422579136678E-06</v>
      </c>
      <c r="J89" s="3" t="s">
        <v>463</v>
      </c>
      <c r="K89" s="31">
        <f>I89</f>
        <v>5.801422579136678E-06</v>
      </c>
      <c r="L89" s="91">
        <v>0.5</v>
      </c>
      <c r="M89" s="111">
        <f>L89/K89</f>
        <v>86185.75757575757</v>
      </c>
      <c r="N89" s="49">
        <f t="shared" si="0"/>
        <v>8.443947193457868</v>
      </c>
      <c r="O89" s="51">
        <v>6E-06</v>
      </c>
      <c r="P89" s="49">
        <v>0.5</v>
      </c>
      <c r="Q89" s="31">
        <f>P89/O89</f>
        <v>83333.33333333333</v>
      </c>
      <c r="R89" s="49">
        <f t="shared" si="1"/>
        <v>8.443947193457864</v>
      </c>
      <c r="U89" s="31">
        <f>GAMMAINV(0.95,P89,1/Q89)</f>
        <v>2.304875489693852E-05</v>
      </c>
      <c r="V89" s="31">
        <f>GAMMAINV(0.5,P89,1/Q89)</f>
        <v>2.729618550290799E-06</v>
      </c>
      <c r="W89" s="31">
        <f>GAMMAINV(0.95,L89,1/M89)</f>
        <v>2.228592784668104E-05</v>
      </c>
      <c r="X89" s="31">
        <f>GAMMAINV(0.5,L89,1/M89)</f>
        <v>2.6392784483478943E-06</v>
      </c>
      <c r="Y89" s="119">
        <v>39114</v>
      </c>
    </row>
    <row r="90" spans="1:25" ht="25.5" customHeight="1">
      <c r="A90" s="14" t="s">
        <v>707</v>
      </c>
      <c r="B90" s="14" t="s">
        <v>389</v>
      </c>
      <c r="C90" s="58" t="s">
        <v>336</v>
      </c>
      <c r="D90" s="52">
        <v>104</v>
      </c>
      <c r="E90" s="52">
        <v>82137</v>
      </c>
      <c r="F90" s="52" t="s">
        <v>562</v>
      </c>
      <c r="G90" s="52">
        <v>887</v>
      </c>
      <c r="H90" s="56">
        <f t="shared" si="28"/>
        <v>0.0012661772404641027</v>
      </c>
      <c r="I90" s="31">
        <f>(D90+0.5)/(E90+1)</f>
        <v>0.001272249141688378</v>
      </c>
      <c r="J90" s="3" t="s">
        <v>355</v>
      </c>
      <c r="K90" s="31">
        <v>0.00147</v>
      </c>
      <c r="L90" s="91">
        <v>0.909</v>
      </c>
      <c r="M90" s="111">
        <f>L90*(1-K90)/K90</f>
        <v>617.4583469387755</v>
      </c>
      <c r="N90" s="49">
        <f t="shared" si="0"/>
        <v>4.644828257967034</v>
      </c>
      <c r="O90" s="51">
        <v>0.0015</v>
      </c>
      <c r="P90" s="49">
        <v>0.9</v>
      </c>
      <c r="Q90" s="31">
        <f>P90*(1-O90)/O90</f>
        <v>599.1</v>
      </c>
      <c r="R90" s="49">
        <f t="shared" si="1"/>
        <v>4.681793776670277</v>
      </c>
      <c r="U90" s="31">
        <f>BETAINV(0.95,P90,Q90)</f>
        <v>0.004661440849304199</v>
      </c>
      <c r="V90" s="31">
        <f>BETAINV(0.5,P90,Q90)</f>
        <v>0.000995652750134468</v>
      </c>
      <c r="W90" s="31">
        <f>BETAINV(0.95,L90,M90)</f>
        <v>0.004552096128463745</v>
      </c>
      <c r="X90" s="31">
        <f>BETAINV(0.5,L90,M90)</f>
        <v>0.0009800354018807411</v>
      </c>
      <c r="Y90" s="119">
        <v>39114</v>
      </c>
    </row>
    <row r="91" spans="1:25" ht="25.5" customHeight="1">
      <c r="A91" s="14" t="s">
        <v>133</v>
      </c>
      <c r="B91" s="14" t="s">
        <v>134</v>
      </c>
      <c r="C91" s="58" t="s">
        <v>336</v>
      </c>
      <c r="D91" s="52">
        <v>15</v>
      </c>
      <c r="E91" s="52">
        <f>G91*8*8760</f>
        <v>130629120</v>
      </c>
      <c r="F91" s="52" t="s">
        <v>561</v>
      </c>
      <c r="G91" s="52">
        <v>1864</v>
      </c>
      <c r="H91" s="56">
        <f>D91/E91</f>
        <v>1.1482891410429773E-07</v>
      </c>
      <c r="I91" s="31">
        <f>(D91+0.5)/E91</f>
        <v>1.1865654457444098E-07</v>
      </c>
      <c r="J91" s="3" t="s">
        <v>348</v>
      </c>
      <c r="K91" s="31">
        <v>1.15E-07</v>
      </c>
      <c r="L91" s="91">
        <v>0.987</v>
      </c>
      <c r="M91" s="111">
        <f>L91/K91</f>
        <v>8582608.695652174</v>
      </c>
      <c r="N91" s="49">
        <f>W91/X91</f>
        <v>4.36473834779439</v>
      </c>
      <c r="O91" s="51">
        <v>1.2E-07</v>
      </c>
      <c r="P91" s="49">
        <v>1</v>
      </c>
      <c r="Q91" s="31">
        <f>P91/O91</f>
        <v>8333333.333333334</v>
      </c>
      <c r="R91" s="49">
        <f>U91/V91</f>
        <v>4.321928048277707</v>
      </c>
      <c r="S91" s="14" t="s">
        <v>30</v>
      </c>
      <c r="U91" s="31">
        <f>GAMMAINV(0.95,P91,1/Q91)</f>
        <v>3.5948787283148455E-07</v>
      </c>
      <c r="V91" s="31">
        <f>GAMMAINV(0.5,P91,1/Q91)</f>
        <v>8.317766256537771E-08</v>
      </c>
      <c r="W91" s="31">
        <f>GAMMAINV(0.95,L91,1/M91)</f>
        <v>3.461074115524914E-07</v>
      </c>
      <c r="X91" s="31">
        <f>GAMMAINV(0.5,L91,1/M91)</f>
        <v>7.929625649321866E-08</v>
      </c>
      <c r="Y91" s="119">
        <v>39114</v>
      </c>
    </row>
    <row r="92" spans="1:25" ht="25.5" customHeight="1">
      <c r="A92" s="14" t="s">
        <v>135</v>
      </c>
      <c r="B92" s="14" t="s">
        <v>136</v>
      </c>
      <c r="C92" s="58" t="s">
        <v>336</v>
      </c>
      <c r="D92" s="52"/>
      <c r="E92" s="52"/>
      <c r="F92" s="52" t="s">
        <v>561</v>
      </c>
      <c r="G92" s="52"/>
      <c r="H92" s="56"/>
      <c r="J92" s="3" t="s">
        <v>521</v>
      </c>
      <c r="K92" s="31">
        <f>K91*0.07</f>
        <v>8.050000000000001E-09</v>
      </c>
      <c r="L92" s="91">
        <v>0.3</v>
      </c>
      <c r="M92" s="111">
        <f>L92/K92</f>
        <v>37267080.74534161</v>
      </c>
      <c r="N92" s="49">
        <f>W92/X92</f>
        <v>18.765606572139173</v>
      </c>
      <c r="O92" s="51">
        <v>8E-09</v>
      </c>
      <c r="P92" s="49">
        <v>0.3</v>
      </c>
      <c r="Q92" s="31">
        <f>P92/O92</f>
        <v>37500000</v>
      </c>
      <c r="R92" s="49">
        <f>U92/V92</f>
        <v>18.765606572139173</v>
      </c>
      <c r="S92" s="14" t="s">
        <v>522</v>
      </c>
      <c r="U92" s="31">
        <f>GAMMAINV(0.95,P92,1/Q92)</f>
        <v>3.659600332554028E-08</v>
      </c>
      <c r="V92" s="31">
        <f>GAMMAINV(0.5,P92,1/Q92)</f>
        <v>1.9501636243335428E-09</v>
      </c>
      <c r="W92" s="31">
        <f>GAMMAINV(0.95,L92,1/M92)</f>
        <v>3.682472834632491E-08</v>
      </c>
      <c r="X92" s="31">
        <f>GAMMAINV(0.5,L92,1/M92)</f>
        <v>1.9623521469856275E-09</v>
      </c>
      <c r="Y92" s="119">
        <v>39114</v>
      </c>
    </row>
    <row r="93" spans="1:25" ht="25.5" customHeight="1">
      <c r="A93" s="14" t="s">
        <v>76</v>
      </c>
      <c r="B93" s="14" t="s">
        <v>77</v>
      </c>
      <c r="C93" s="58" t="s">
        <v>336</v>
      </c>
      <c r="D93" s="52">
        <v>1</v>
      </c>
      <c r="E93" s="52">
        <v>1320</v>
      </c>
      <c r="F93" s="52" t="s">
        <v>562</v>
      </c>
      <c r="G93" s="52">
        <v>21</v>
      </c>
      <c r="H93" s="56">
        <f t="shared" si="28"/>
        <v>0.0007575757575757576</v>
      </c>
      <c r="I93" s="31">
        <f>(D93+0.5)/(E93+1)</f>
        <v>0.0011355034065102195</v>
      </c>
      <c r="J93" s="3" t="s">
        <v>456</v>
      </c>
      <c r="K93" s="31">
        <f>I93</f>
        <v>0.0011355034065102195</v>
      </c>
      <c r="L93" s="91">
        <v>0.5</v>
      </c>
      <c r="M93" s="111">
        <f>L93*(1-K93)/K93</f>
        <v>439.8333333333333</v>
      </c>
      <c r="N93" s="49">
        <f t="shared" si="0"/>
        <v>8.427710908442819</v>
      </c>
      <c r="O93" s="51">
        <v>0.0012</v>
      </c>
      <c r="P93" s="49">
        <v>0.5</v>
      </c>
      <c r="Q93" s="31">
        <f>P93*(1-O93)/O93</f>
        <v>416.1666666666667</v>
      </c>
      <c r="R93" s="49">
        <f t="shared" si="1"/>
        <v>8.426764416312654</v>
      </c>
      <c r="U93" s="31">
        <f>BETAINV(0.95,P93,Q93)</f>
        <v>0.004607409238815308</v>
      </c>
      <c r="V93" s="31">
        <f>BETAINV(0.5,P93,Q93)</f>
        <v>0.0005467589944601059</v>
      </c>
      <c r="W93" s="31">
        <f>BETAINV(0.95,L93,M93)</f>
        <v>0.004359900951385498</v>
      </c>
      <c r="X93" s="31">
        <f>BETAINV(0.5,L93,M93)</f>
        <v>0.0005173292011022568</v>
      </c>
      <c r="Y93" s="119">
        <v>39114</v>
      </c>
    </row>
    <row r="94" spans="1:25" ht="25.5" customHeight="1">
      <c r="A94" s="14" t="s">
        <v>78</v>
      </c>
      <c r="B94" s="14" t="s">
        <v>79</v>
      </c>
      <c r="C94" s="58" t="s">
        <v>336</v>
      </c>
      <c r="D94" s="52">
        <v>0</v>
      </c>
      <c r="E94" s="52">
        <f>G94*8*8760</f>
        <v>1471680</v>
      </c>
      <c r="F94" s="52" t="s">
        <v>561</v>
      </c>
      <c r="G94" s="52">
        <v>21</v>
      </c>
      <c r="H94" s="56">
        <f t="shared" si="28"/>
        <v>0</v>
      </c>
      <c r="I94" s="31">
        <f>(D94+0.5)/E94</f>
        <v>3.3974777125462056E-07</v>
      </c>
      <c r="J94" s="3" t="s">
        <v>463</v>
      </c>
      <c r="K94" s="31">
        <f>I94</f>
        <v>3.3974777125462056E-07</v>
      </c>
      <c r="L94" s="91">
        <v>0.5</v>
      </c>
      <c r="M94" s="111">
        <f>L94/K94</f>
        <v>1471680</v>
      </c>
      <c r="N94" s="49">
        <f t="shared" si="0"/>
        <v>8.443947193457866</v>
      </c>
      <c r="O94" s="51">
        <v>3E-07</v>
      </c>
      <c r="P94" s="49">
        <v>0.5</v>
      </c>
      <c r="Q94" s="31">
        <f>P94/O94</f>
        <v>1666666.6666666667</v>
      </c>
      <c r="R94" s="49">
        <f t="shared" si="1"/>
        <v>8.443947193457863</v>
      </c>
      <c r="U94" s="31">
        <f>GAMMAINV(0.95,P94,1/Q94)</f>
        <v>1.1524377448469257E-06</v>
      </c>
      <c r="V94" s="31">
        <f>GAMMAINV(0.5,P94,1/Q94)</f>
        <v>1.3648092751453995E-07</v>
      </c>
      <c r="W94" s="31">
        <f>GAMMAINV(0.95,L94,1/M94)</f>
        <v>1.305127184404814E-06</v>
      </c>
      <c r="X94" s="31">
        <f>GAMMAINV(0.5,L94,1/M94)</f>
        <v>1.545636364727612E-07</v>
      </c>
      <c r="Y94" s="119">
        <v>39114</v>
      </c>
    </row>
    <row r="95" spans="1:25" ht="25.5" customHeight="1">
      <c r="A95" s="54" t="s">
        <v>390</v>
      </c>
      <c r="B95" s="54" t="s">
        <v>391</v>
      </c>
      <c r="C95" s="58" t="s">
        <v>343</v>
      </c>
      <c r="D95" s="60"/>
      <c r="E95" s="60"/>
      <c r="F95" s="60" t="s">
        <v>561</v>
      </c>
      <c r="G95" s="60"/>
      <c r="H95" s="56"/>
      <c r="I95" s="56">
        <v>3E-06</v>
      </c>
      <c r="J95" s="15" t="s">
        <v>464</v>
      </c>
      <c r="K95" s="56">
        <f>I95</f>
        <v>3E-06</v>
      </c>
      <c r="L95" s="92">
        <v>0.3</v>
      </c>
      <c r="M95" s="111">
        <f>L95/K95</f>
        <v>100000</v>
      </c>
      <c r="N95" s="49">
        <f t="shared" si="0"/>
        <v>18.765606572139184</v>
      </c>
      <c r="O95" s="59">
        <f>K95</f>
        <v>3E-06</v>
      </c>
      <c r="P95" s="57">
        <v>0.3</v>
      </c>
      <c r="Q95" s="56">
        <f>P95/O95</f>
        <v>100000</v>
      </c>
      <c r="R95" s="49">
        <f t="shared" si="1"/>
        <v>18.765606572139184</v>
      </c>
      <c r="S95" s="54"/>
      <c r="U95" s="31">
        <f>GAMMAINV(0.95,P95,1/Q95)</f>
        <v>1.3723501247077611E-05</v>
      </c>
      <c r="V95" s="31">
        <f>GAMMAINV(0.5,P95,1/Q95)</f>
        <v>7.313113591250785E-07</v>
      </c>
      <c r="W95" s="31">
        <f>GAMMAINV(0.95,L95,1/M95)</f>
        <v>1.3723501247077611E-05</v>
      </c>
      <c r="X95" s="31">
        <f>GAMMAINV(0.5,L95,1/M95)</f>
        <v>7.313113591250785E-07</v>
      </c>
      <c r="Y95" s="119">
        <v>39114</v>
      </c>
    </row>
    <row r="96" spans="1:25" ht="25.5" customHeight="1">
      <c r="A96" s="14" t="s">
        <v>392</v>
      </c>
      <c r="B96" s="14" t="s">
        <v>393</v>
      </c>
      <c r="C96" s="58" t="s">
        <v>336</v>
      </c>
      <c r="D96" s="52">
        <v>244</v>
      </c>
      <c r="E96" s="52">
        <v>232264</v>
      </c>
      <c r="F96" s="52" t="s">
        <v>562</v>
      </c>
      <c r="G96" s="52">
        <v>7441</v>
      </c>
      <c r="H96" s="56">
        <f>D96/E96</f>
        <v>0.0010505287087107774</v>
      </c>
      <c r="I96" s="31">
        <f>(D96+0.5)/(E96+1)</f>
        <v>0.0010526768992314814</v>
      </c>
      <c r="J96" s="3" t="s">
        <v>355</v>
      </c>
      <c r="K96" s="31">
        <v>0.00107</v>
      </c>
      <c r="L96" s="91">
        <v>1.277</v>
      </c>
      <c r="M96" s="111">
        <f>L96*(1-K96)/K96</f>
        <v>1192.1809439252336</v>
      </c>
      <c r="N96" s="49">
        <f t="shared" si="0"/>
        <v>3.6424795128515273</v>
      </c>
      <c r="O96" s="51">
        <v>0.001</v>
      </c>
      <c r="P96" s="49">
        <v>1.2</v>
      </c>
      <c r="Q96" s="31">
        <f>P96*(1-O96)/O96</f>
        <v>1198.7999999999997</v>
      </c>
      <c r="R96" s="49">
        <f t="shared" si="1"/>
        <v>3.794391065556654</v>
      </c>
      <c r="U96" s="31">
        <f>BETAINV(0.95,P96,Q96)</f>
        <v>0.002809181809425354</v>
      </c>
      <c r="V96" s="31">
        <f>BETAINV(0.5,P96,Q96)</f>
        <v>0.0007403511554002762</v>
      </c>
      <c r="W96" s="31">
        <f>BETAINV(0.95,L96,M96)</f>
        <v>0.002941995859146118</v>
      </c>
      <c r="X96" s="31">
        <f>BETAINV(0.5,L96,M96)</f>
        <v>0.0008076904341578484</v>
      </c>
      <c r="Y96" s="119">
        <v>39114</v>
      </c>
    </row>
    <row r="97" spans="1:25" ht="25.5" customHeight="1">
      <c r="A97" s="14" t="s">
        <v>394</v>
      </c>
      <c r="B97" s="14" t="s">
        <v>395</v>
      </c>
      <c r="C97" s="58" t="s">
        <v>336</v>
      </c>
      <c r="D97" s="52">
        <v>14</v>
      </c>
      <c r="E97" s="52">
        <f>G97*5*8760</f>
        <v>325915800</v>
      </c>
      <c r="F97" s="52" t="s">
        <v>561</v>
      </c>
      <c r="G97" s="52">
        <v>7441</v>
      </c>
      <c r="H97" s="56">
        <f>D97/E97</f>
        <v>4.295588001563594E-08</v>
      </c>
      <c r="I97" s="31">
        <f>(D97+0.5)/E97</f>
        <v>4.4490018587622936E-08</v>
      </c>
      <c r="J97" s="3" t="s">
        <v>463</v>
      </c>
      <c r="K97" s="31">
        <f>I97</f>
        <v>4.4490018587622936E-08</v>
      </c>
      <c r="L97" s="91">
        <v>0.5</v>
      </c>
      <c r="M97" s="111">
        <f aca="true" t="shared" si="29" ref="M97:M104">L97/K97</f>
        <v>11238475.862068966</v>
      </c>
      <c r="N97" s="49">
        <f t="shared" si="0"/>
        <v>8.443947193457866</v>
      </c>
      <c r="O97" s="51">
        <v>4E-08</v>
      </c>
      <c r="P97" s="49">
        <v>0.5</v>
      </c>
      <c r="Q97" s="31">
        <f aca="true" t="shared" si="30" ref="Q97:Q104">P97/O97</f>
        <v>12500000</v>
      </c>
      <c r="R97" s="49">
        <f t="shared" si="1"/>
        <v>8.443947193457866</v>
      </c>
      <c r="U97" s="31">
        <f aca="true" t="shared" si="31" ref="U97:U104">GAMMAINV(0.95,P97,1/Q97)</f>
        <v>1.5365836597959012E-07</v>
      </c>
      <c r="V97" s="31">
        <f aca="true" t="shared" si="32" ref="V97:V104">GAMMAINV(0.5,P97,1/Q97)</f>
        <v>1.8197457001938657E-08</v>
      </c>
      <c r="W97" s="31">
        <f>GAMMAINV(0.95,L97,1/M97)</f>
        <v>1.7090658896439333E-07</v>
      </c>
      <c r="X97" s="31">
        <f>GAMMAINV(0.5,L97,1/M97)</f>
        <v>2.0240130006593003E-08</v>
      </c>
      <c r="Y97" s="119">
        <v>39114</v>
      </c>
    </row>
    <row r="98" spans="1:25" ht="25.5" customHeight="1">
      <c r="A98" s="14" t="s">
        <v>137</v>
      </c>
      <c r="B98" s="14" t="s">
        <v>138</v>
      </c>
      <c r="C98" s="58" t="s">
        <v>336</v>
      </c>
      <c r="D98" s="52">
        <v>7</v>
      </c>
      <c r="E98" s="52">
        <f>G98*8*8760</f>
        <v>533589120</v>
      </c>
      <c r="F98" s="52" t="s">
        <v>561</v>
      </c>
      <c r="G98" s="52">
        <v>7614</v>
      </c>
      <c r="H98" s="56">
        <f>D98/E98</f>
        <v>1.31187082675149E-08</v>
      </c>
      <c r="I98" s="31">
        <f>(D98+0.5)/E98</f>
        <v>1.4055758858051679E-08</v>
      </c>
      <c r="J98" s="3" t="s">
        <v>463</v>
      </c>
      <c r="K98" s="31">
        <f>I98</f>
        <v>1.4055758858051679E-08</v>
      </c>
      <c r="L98" s="91">
        <v>0.5</v>
      </c>
      <c r="M98" s="111">
        <f t="shared" si="29"/>
        <v>35572608</v>
      </c>
      <c r="N98" s="49">
        <f>W98/X98</f>
        <v>8.443947193457868</v>
      </c>
      <c r="O98" s="51">
        <v>1.5E-08</v>
      </c>
      <c r="P98" s="49">
        <v>0.5</v>
      </c>
      <c r="Q98" s="31">
        <f t="shared" si="30"/>
        <v>33333333.333333336</v>
      </c>
      <c r="R98" s="49">
        <f>U98/V98</f>
        <v>8.443947193457866</v>
      </c>
      <c r="S98" s="14" t="s">
        <v>30</v>
      </c>
      <c r="U98" s="31">
        <f t="shared" si="31"/>
        <v>5.762188724234629E-08</v>
      </c>
      <c r="V98" s="31">
        <f t="shared" si="32"/>
        <v>6.824046375726996E-09</v>
      </c>
      <c r="W98" s="31">
        <f>GAMMAINV(0.95,L98,1/M98)</f>
        <v>5.399462346828428E-08</v>
      </c>
      <c r="X98" s="31">
        <f>GAMMAINV(0.5,L98,1/M98)</f>
        <v>6.394476686225346E-09</v>
      </c>
      <c r="Y98" s="119">
        <v>39114</v>
      </c>
    </row>
    <row r="99" spans="1:25" ht="25.5" customHeight="1">
      <c r="A99" s="14" t="s">
        <v>139</v>
      </c>
      <c r="B99" s="14" t="s">
        <v>140</v>
      </c>
      <c r="C99" s="15" t="s">
        <v>336</v>
      </c>
      <c r="D99" s="52"/>
      <c r="E99" s="52"/>
      <c r="F99" s="52" t="s">
        <v>561</v>
      </c>
      <c r="G99" s="52"/>
      <c r="H99" s="56"/>
      <c r="J99" s="3" t="s">
        <v>521</v>
      </c>
      <c r="K99" s="31">
        <f>K98*0.07</f>
        <v>9.839031200636176E-10</v>
      </c>
      <c r="L99" s="91">
        <v>0.3</v>
      </c>
      <c r="M99" s="111">
        <f t="shared" si="29"/>
        <v>304908068.57142854</v>
      </c>
      <c r="N99" s="49">
        <f>W99/X99</f>
        <v>18.765606572139177</v>
      </c>
      <c r="O99" s="51">
        <v>1E-09</v>
      </c>
      <c r="P99" s="49">
        <v>0.3</v>
      </c>
      <c r="Q99" s="31">
        <f t="shared" si="30"/>
        <v>300000000</v>
      </c>
      <c r="R99" s="49">
        <f>U99/V99</f>
        <v>18.765606572139173</v>
      </c>
      <c r="S99" s="14" t="s">
        <v>522</v>
      </c>
      <c r="U99" s="31">
        <f t="shared" si="31"/>
        <v>4.574500415692535E-09</v>
      </c>
      <c r="V99" s="31">
        <f t="shared" si="32"/>
        <v>2.4377045304169285E-10</v>
      </c>
      <c r="W99" s="31">
        <f>GAMMAINV(0.95,L99,1/M99)</f>
        <v>4.500865231732202E-09</v>
      </c>
      <c r="X99" s="31">
        <f>GAMMAINV(0.5,L99,1/M99)</f>
        <v>2.398465093270432E-10</v>
      </c>
      <c r="Y99" s="119">
        <v>39114</v>
      </c>
    </row>
    <row r="100" spans="1:25" ht="25.5" customHeight="1">
      <c r="A100" s="14" t="s">
        <v>141</v>
      </c>
      <c r="B100" s="14" t="s">
        <v>142</v>
      </c>
      <c r="C100" s="58" t="s">
        <v>336</v>
      </c>
      <c r="D100" s="49">
        <v>87.5</v>
      </c>
      <c r="E100" s="52">
        <f>G100*8*8760</f>
        <v>528122880</v>
      </c>
      <c r="F100" s="52" t="s">
        <v>561</v>
      </c>
      <c r="G100" s="52">
        <v>7536</v>
      </c>
      <c r="H100" s="56">
        <f>D100/E100</f>
        <v>1.656811384502031E-07</v>
      </c>
      <c r="I100" s="31">
        <f>(D100+0.5)/E100</f>
        <v>1.666278878127757E-07</v>
      </c>
      <c r="J100" s="3" t="s">
        <v>348</v>
      </c>
      <c r="K100" s="31">
        <v>1.67E-07</v>
      </c>
      <c r="L100" s="91">
        <v>0.434</v>
      </c>
      <c r="M100" s="111">
        <f t="shared" si="29"/>
        <v>2598802.3952095807</v>
      </c>
      <c r="N100" s="49">
        <f>W100/X100</f>
        <v>10.17761274849163</v>
      </c>
      <c r="O100" s="51">
        <v>1.5E-07</v>
      </c>
      <c r="P100" s="49">
        <v>0.5</v>
      </c>
      <c r="Q100" s="31">
        <f t="shared" si="30"/>
        <v>3333333.3333333335</v>
      </c>
      <c r="R100" s="49">
        <f>U100/V100</f>
        <v>8.443947193457863</v>
      </c>
      <c r="S100" s="14" t="s">
        <v>30</v>
      </c>
      <c r="U100" s="31">
        <f t="shared" si="31"/>
        <v>5.762188724234628E-07</v>
      </c>
      <c r="V100" s="31">
        <f t="shared" si="32"/>
        <v>6.824046375726997E-08</v>
      </c>
      <c r="W100" s="31">
        <f>GAMMAINV(0.95,L100,1/M100)</f>
        <v>6.744445301607463E-07</v>
      </c>
      <c r="X100" s="31">
        <f>GAMMAINV(0.5,L100,1/M100)</f>
        <v>6.626745847258752E-08</v>
      </c>
      <c r="Y100" s="119">
        <v>39114</v>
      </c>
    </row>
    <row r="101" spans="1:25" ht="25.5" customHeight="1">
      <c r="A101" s="14" t="s">
        <v>143</v>
      </c>
      <c r="B101" s="14" t="s">
        <v>144</v>
      </c>
      <c r="C101" s="15" t="s">
        <v>336</v>
      </c>
      <c r="D101" s="52"/>
      <c r="E101" s="52"/>
      <c r="F101" s="52" t="s">
        <v>561</v>
      </c>
      <c r="G101" s="52"/>
      <c r="H101" s="56"/>
      <c r="J101" s="3" t="s">
        <v>470</v>
      </c>
      <c r="K101" s="31">
        <f>K100*0.02</f>
        <v>3.34E-09</v>
      </c>
      <c r="L101" s="91">
        <v>0.3</v>
      </c>
      <c r="M101" s="111">
        <f t="shared" si="29"/>
        <v>89820359.28143711</v>
      </c>
      <c r="N101" s="49">
        <f>W101/X101</f>
        <v>18.765606572139177</v>
      </c>
      <c r="O101" s="51">
        <v>3E-09</v>
      </c>
      <c r="P101" s="49">
        <v>0.3</v>
      </c>
      <c r="Q101" s="31">
        <f t="shared" si="30"/>
        <v>100000000</v>
      </c>
      <c r="R101" s="49">
        <f>U101/V101</f>
        <v>18.765606572139173</v>
      </c>
      <c r="S101" s="14" t="s">
        <v>465</v>
      </c>
      <c r="U101" s="31">
        <f t="shared" si="31"/>
        <v>1.3723501247077606E-08</v>
      </c>
      <c r="V101" s="31">
        <f t="shared" si="32"/>
        <v>7.313113591250785E-10</v>
      </c>
      <c r="W101" s="31">
        <f>GAMMAINV(0.95,L101,1/M101)</f>
        <v>1.5278831388413076E-08</v>
      </c>
      <c r="X101" s="31">
        <f>GAMMAINV(0.5,L101,1/M101)</f>
        <v>8.141933131592543E-10</v>
      </c>
      <c r="Y101" s="119">
        <v>39114</v>
      </c>
    </row>
    <row r="102" spans="1:25" ht="25.5" customHeight="1">
      <c r="A102" s="14" t="s">
        <v>523</v>
      </c>
      <c r="B102" s="14" t="s">
        <v>749</v>
      </c>
      <c r="C102" s="2" t="s">
        <v>52</v>
      </c>
      <c r="D102" s="52">
        <v>2</v>
      </c>
      <c r="E102" s="52">
        <v>19789</v>
      </c>
      <c r="F102" s="52" t="s">
        <v>562</v>
      </c>
      <c r="G102" s="52"/>
      <c r="H102" s="31">
        <f>D102/E102</f>
        <v>0.00010106624892617111</v>
      </c>
      <c r="I102" s="31">
        <f>(D102+0.5)/(E102+1)</f>
        <v>0.00012632642748863063</v>
      </c>
      <c r="J102" s="3" t="s">
        <v>456</v>
      </c>
      <c r="K102" s="56">
        <f>I102</f>
        <v>0.00012632642748863063</v>
      </c>
      <c r="L102" s="91">
        <v>0.5</v>
      </c>
      <c r="M102" s="111">
        <f>L102*(1-K102)/K102</f>
        <v>3957.4999999999995</v>
      </c>
      <c r="N102" s="49">
        <f>W102/X102</f>
        <v>8.442153572578668</v>
      </c>
      <c r="O102" s="51">
        <v>0.00012</v>
      </c>
      <c r="P102" s="49">
        <v>0.5</v>
      </c>
      <c r="Q102" s="31">
        <f>P102*(1-O102)/O102</f>
        <v>4166.166666666667</v>
      </c>
      <c r="R102" s="49">
        <f>U102/V102</f>
        <v>8.442253569174612</v>
      </c>
      <c r="U102" s="31">
        <f>BETAINV(0.95,P102,Q102)</f>
        <v>0.0004609525203704834</v>
      </c>
      <c r="V102" s="31">
        <f>BETAINV(0.5,P102,Q102)</f>
        <v>5.460064858198166E-05</v>
      </c>
      <c r="W102" s="31">
        <f>BETAINV(0.95,L102,M102)</f>
        <v>0.00048525258898735046</v>
      </c>
      <c r="X102" s="31">
        <f>BETAINV(0.5,L102,M102)</f>
        <v>5.7479715906083584E-05</v>
      </c>
      <c r="Y102" s="119">
        <v>39114</v>
      </c>
    </row>
    <row r="103" spans="1:25" ht="25.5" customHeight="1">
      <c r="A103" s="54" t="s">
        <v>396</v>
      </c>
      <c r="B103" s="54" t="s">
        <v>397</v>
      </c>
      <c r="C103" s="58" t="s">
        <v>343</v>
      </c>
      <c r="D103" s="60"/>
      <c r="E103" s="60"/>
      <c r="F103" s="60" t="s">
        <v>561</v>
      </c>
      <c r="G103" s="60"/>
      <c r="H103" s="56"/>
      <c r="I103" s="56">
        <v>1E-06</v>
      </c>
      <c r="J103" s="15" t="s">
        <v>464</v>
      </c>
      <c r="K103" s="56">
        <f>I103</f>
        <v>1E-06</v>
      </c>
      <c r="L103" s="92">
        <v>0.3</v>
      </c>
      <c r="M103" s="111">
        <f t="shared" si="29"/>
        <v>300000</v>
      </c>
      <c r="N103" s="49">
        <f t="shared" si="0"/>
        <v>18.765606572139177</v>
      </c>
      <c r="O103" s="59">
        <f>K103</f>
        <v>1E-06</v>
      </c>
      <c r="P103" s="57">
        <v>0.3</v>
      </c>
      <c r="Q103" s="56">
        <f t="shared" si="30"/>
        <v>300000</v>
      </c>
      <c r="R103" s="49">
        <f t="shared" si="1"/>
        <v>18.765606572139177</v>
      </c>
      <c r="S103" s="54"/>
      <c r="U103" s="31">
        <f t="shared" si="31"/>
        <v>4.574500415692535E-06</v>
      </c>
      <c r="V103" s="31">
        <f t="shared" si="32"/>
        <v>2.4377045304169283E-07</v>
      </c>
      <c r="W103" s="31">
        <f>GAMMAINV(0.95,L103,1/M103)</f>
        <v>4.574500415692535E-06</v>
      </c>
      <c r="X103" s="31">
        <f>GAMMAINV(0.5,L103,1/M103)</f>
        <v>2.4377045304169283E-07</v>
      </c>
      <c r="Y103" s="119">
        <v>39114</v>
      </c>
    </row>
    <row r="104" spans="1:25" ht="25.5" customHeight="1">
      <c r="A104" s="14" t="s">
        <v>708</v>
      </c>
      <c r="B104" s="14" t="s">
        <v>398</v>
      </c>
      <c r="C104" s="58" t="s">
        <v>336</v>
      </c>
      <c r="D104" s="52">
        <v>12</v>
      </c>
      <c r="E104" s="52">
        <v>1456663</v>
      </c>
      <c r="F104" s="52" t="s">
        <v>561</v>
      </c>
      <c r="G104" s="52">
        <v>69</v>
      </c>
      <c r="H104" s="56">
        <f aca="true" t="shared" si="33" ref="H104:H109">D104/E104</f>
        <v>8.238007006424959E-06</v>
      </c>
      <c r="I104" s="31">
        <f>(D104+0.5)/E104</f>
        <v>8.581257298359332E-06</v>
      </c>
      <c r="J104" s="3" t="s">
        <v>461</v>
      </c>
      <c r="K104" s="31">
        <v>8.32E-06</v>
      </c>
      <c r="L104" s="91">
        <v>0.3</v>
      </c>
      <c r="M104" s="111">
        <f t="shared" si="29"/>
        <v>36057.692307692305</v>
      </c>
      <c r="N104" s="49">
        <f t="shared" si="0"/>
        <v>18.76560657213918</v>
      </c>
      <c r="O104" s="51">
        <v>8E-06</v>
      </c>
      <c r="P104" s="49">
        <v>0.3</v>
      </c>
      <c r="Q104" s="31">
        <f t="shared" si="30"/>
        <v>37500</v>
      </c>
      <c r="R104" s="49">
        <f t="shared" si="1"/>
        <v>18.765606572139177</v>
      </c>
      <c r="U104" s="31">
        <f t="shared" si="31"/>
        <v>3.659600332554028E-05</v>
      </c>
      <c r="V104" s="31">
        <f t="shared" si="32"/>
        <v>1.9501636243335427E-06</v>
      </c>
      <c r="W104" s="31">
        <f>GAMMAINV(0.95,L104,1/M104)</f>
        <v>3.80598434585619E-05</v>
      </c>
      <c r="X104" s="31">
        <f>GAMMAINV(0.5,L104,1/M104)</f>
        <v>2.0281701693068843E-06</v>
      </c>
      <c r="Y104" s="119">
        <v>39114</v>
      </c>
    </row>
    <row r="105" spans="1:25" ht="25.5" customHeight="1">
      <c r="A105" s="14" t="s">
        <v>709</v>
      </c>
      <c r="B105" s="14" t="s">
        <v>399</v>
      </c>
      <c r="C105" s="58" t="s">
        <v>336</v>
      </c>
      <c r="D105" s="52">
        <v>32</v>
      </c>
      <c r="E105" s="52">
        <v>9838</v>
      </c>
      <c r="F105" s="52" t="s">
        <v>562</v>
      </c>
      <c r="G105" s="52">
        <v>69</v>
      </c>
      <c r="H105" s="56">
        <f t="shared" si="33"/>
        <v>0.0032526936369180726</v>
      </c>
      <c r="I105" s="31">
        <f>(D105+0.5)/(E105+1)</f>
        <v>0.003303181217603415</v>
      </c>
      <c r="J105" s="3" t="s">
        <v>355</v>
      </c>
      <c r="K105" s="31">
        <v>0.00334</v>
      </c>
      <c r="L105" s="91">
        <v>0.519</v>
      </c>
      <c r="M105" s="111">
        <f>L105*(1-K105)/K105</f>
        <v>154.87022155688624</v>
      </c>
      <c r="N105" s="49">
        <f aca="true" t="shared" si="34" ref="N105:N115">W105/X105</f>
        <v>8.022239452334576</v>
      </c>
      <c r="O105" s="51">
        <v>0.003</v>
      </c>
      <c r="P105" s="49">
        <v>0.5</v>
      </c>
      <c r="Q105" s="31">
        <f>P105*(1-O105)/O105</f>
        <v>166.16666666666666</v>
      </c>
      <c r="R105" s="49">
        <f t="shared" si="1"/>
        <v>8.401014772940476</v>
      </c>
      <c r="U105" s="31">
        <f>BETAINV(0.95,P105,Q105)</f>
        <v>0.011509716510772705</v>
      </c>
      <c r="V105" s="31">
        <f>BETAINV(0.5,P105,Q105)</f>
        <v>0.0013700388371944427</v>
      </c>
      <c r="W105" s="31">
        <f>BETAINV(0.95,L105,M105)</f>
        <v>0.012642383575439453</v>
      </c>
      <c r="X105" s="31">
        <f>BETAINV(0.5,L105,M105)</f>
        <v>0.0015759170055389404</v>
      </c>
      <c r="Y105" s="119">
        <v>39114</v>
      </c>
    </row>
    <row r="106" spans="1:25" ht="25.5" customHeight="1">
      <c r="A106" s="14" t="s">
        <v>710</v>
      </c>
      <c r="B106" s="14" t="s">
        <v>400</v>
      </c>
      <c r="C106" s="58" t="s">
        <v>336</v>
      </c>
      <c r="D106" s="52">
        <v>1</v>
      </c>
      <c r="E106" s="52">
        <v>3540</v>
      </c>
      <c r="F106" s="52" t="s">
        <v>561</v>
      </c>
      <c r="G106" s="52">
        <v>66</v>
      </c>
      <c r="H106" s="56">
        <f t="shared" si="33"/>
        <v>0.0002824858757062147</v>
      </c>
      <c r="I106" s="31">
        <f>(D106+0.5)/E106</f>
        <v>0.000423728813559322</v>
      </c>
      <c r="J106" s="3" t="s">
        <v>463</v>
      </c>
      <c r="K106" s="31">
        <f>I106</f>
        <v>0.000423728813559322</v>
      </c>
      <c r="L106" s="91">
        <v>0.5</v>
      </c>
      <c r="M106" s="111">
        <f>L106/K106</f>
        <v>1180</v>
      </c>
      <c r="N106" s="49">
        <f t="shared" si="34"/>
        <v>8.443947193457868</v>
      </c>
      <c r="O106" s="51">
        <v>0.0004</v>
      </c>
      <c r="P106" s="49">
        <v>0.5</v>
      </c>
      <c r="Q106" s="31">
        <f>P106/O106</f>
        <v>1250</v>
      </c>
      <c r="R106" s="49">
        <f aca="true" t="shared" si="35" ref="R106:R116">U106/V106</f>
        <v>8.443947193457866</v>
      </c>
      <c r="U106" s="31">
        <f>GAMMAINV(0.95,P106,1/Q106)</f>
        <v>0.0015365836597959013</v>
      </c>
      <c r="V106" s="31">
        <f>GAMMAINV(0.5,P106,1/Q106)</f>
        <v>0.00018197457001938657</v>
      </c>
      <c r="W106" s="31">
        <f>GAMMAINV(0.95,L106,1/M106)</f>
        <v>0.0016277369277498954</v>
      </c>
      <c r="X106" s="31">
        <f>GAMMAINV(0.5,L106,1/M106)</f>
        <v>0.0001927696716307061</v>
      </c>
      <c r="Y106" s="119">
        <v>39114</v>
      </c>
    </row>
    <row r="107" spans="1:25" ht="25.5" customHeight="1">
      <c r="A107" s="14" t="s">
        <v>711</v>
      </c>
      <c r="B107" s="14" t="s">
        <v>401</v>
      </c>
      <c r="C107" s="58" t="s">
        <v>336</v>
      </c>
      <c r="D107" s="52" t="s">
        <v>191</v>
      </c>
      <c r="E107" s="52"/>
      <c r="F107" s="52" t="s">
        <v>561</v>
      </c>
      <c r="G107" s="52"/>
      <c r="H107" s="56"/>
      <c r="J107" s="3" t="s">
        <v>634</v>
      </c>
      <c r="K107" s="31">
        <f>K106*0.06</f>
        <v>2.5423728813559322E-05</v>
      </c>
      <c r="L107" s="91">
        <v>0.3</v>
      </c>
      <c r="M107" s="111">
        <f>L107/K107</f>
        <v>11800</v>
      </c>
      <c r="N107" s="49">
        <f t="shared" si="34"/>
        <v>18.76560657213917</v>
      </c>
      <c r="O107" s="51">
        <v>2.5E-05</v>
      </c>
      <c r="P107" s="49">
        <v>0.3</v>
      </c>
      <c r="Q107" s="31">
        <f>P107/O107</f>
        <v>11999.999999999998</v>
      </c>
      <c r="R107" s="49">
        <f t="shared" si="35"/>
        <v>18.76560657213917</v>
      </c>
      <c r="S107" s="14" t="s">
        <v>635</v>
      </c>
      <c r="T107" s="71">
        <v>38629</v>
      </c>
      <c r="U107" s="31">
        <f>GAMMAINV(0.95,P107,1/Q107)</f>
        <v>0.00011436251039231339</v>
      </c>
      <c r="V107" s="31">
        <f>GAMMAINV(0.5,P107,1/Q107)</f>
        <v>6.094261326042323E-06</v>
      </c>
      <c r="W107" s="31">
        <f>GAMMAINV(0.95,L107,1/M107)</f>
        <v>0.0001163008580260814</v>
      </c>
      <c r="X107" s="31">
        <f>GAMMAINV(0.5,L107,1/M107)</f>
        <v>6.197553890890497E-06</v>
      </c>
      <c r="Y107" s="119">
        <v>39114</v>
      </c>
    </row>
    <row r="108" spans="1:25" ht="25.5" customHeight="1">
      <c r="A108" s="14" t="s">
        <v>712</v>
      </c>
      <c r="B108" s="14" t="s">
        <v>402</v>
      </c>
      <c r="C108" s="58" t="s">
        <v>336</v>
      </c>
      <c r="D108" s="52">
        <v>9</v>
      </c>
      <c r="E108" s="52">
        <v>3171</v>
      </c>
      <c r="F108" s="52" t="s">
        <v>562</v>
      </c>
      <c r="G108" s="52">
        <v>66</v>
      </c>
      <c r="H108" s="56">
        <f t="shared" si="33"/>
        <v>0.002838221381267739</v>
      </c>
      <c r="I108" s="31">
        <f>(D108+0.5)/(E108+1)</f>
        <v>0.0029949558638083227</v>
      </c>
      <c r="J108" s="3" t="s">
        <v>456</v>
      </c>
      <c r="K108" s="31">
        <f>I108</f>
        <v>0.0029949558638083227</v>
      </c>
      <c r="L108" s="91">
        <v>0.5</v>
      </c>
      <c r="M108" s="111">
        <f>L108*(1-K108)/K108</f>
        <v>166.44736842105266</v>
      </c>
      <c r="N108" s="49">
        <f t="shared" si="34"/>
        <v>8.40106115823133</v>
      </c>
      <c r="O108" s="51">
        <v>0.003</v>
      </c>
      <c r="P108" s="49">
        <v>0.5</v>
      </c>
      <c r="Q108" s="31">
        <f>P108*(1-O108)/O108</f>
        <v>166.16666666666666</v>
      </c>
      <c r="R108" s="49">
        <f t="shared" si="35"/>
        <v>8.401014772940476</v>
      </c>
      <c r="U108" s="31">
        <f>BETAINV(0.95,P108,Q108)</f>
        <v>0.011509716510772705</v>
      </c>
      <c r="V108" s="31">
        <f>BETAINV(0.5,P108,Q108)</f>
        <v>0.0013700388371944427</v>
      </c>
      <c r="W108" s="31">
        <f>BETAINV(0.95,L108,M108)</f>
        <v>0.011490345001220703</v>
      </c>
      <c r="X108" s="31">
        <f>BETAINV(0.5,L108,M108)</f>
        <v>0.001367725431919098</v>
      </c>
      <c r="Y108" s="119">
        <v>39114</v>
      </c>
    </row>
    <row r="109" spans="1:25" ht="25.5" customHeight="1">
      <c r="A109" s="14" t="s">
        <v>145</v>
      </c>
      <c r="B109" s="14" t="s">
        <v>146</v>
      </c>
      <c r="C109" s="58" t="s">
        <v>336</v>
      </c>
      <c r="D109" s="52">
        <v>1</v>
      </c>
      <c r="E109" s="52">
        <f>G109*8*8760</f>
        <v>11633280</v>
      </c>
      <c r="F109" s="52" t="s">
        <v>561</v>
      </c>
      <c r="G109" s="52">
        <v>166</v>
      </c>
      <c r="H109" s="56">
        <f t="shared" si="33"/>
        <v>8.596027947406063E-08</v>
      </c>
      <c r="I109" s="31">
        <f>(D109+0.5)/E109</f>
        <v>1.2894041921109093E-07</v>
      </c>
      <c r="J109" s="3" t="s">
        <v>463</v>
      </c>
      <c r="K109" s="31">
        <f>I109</f>
        <v>1.2894041921109093E-07</v>
      </c>
      <c r="L109" s="91">
        <v>0.5</v>
      </c>
      <c r="M109" s="111">
        <f aca="true" t="shared" si="36" ref="M109:M114">L109/K109</f>
        <v>3877760</v>
      </c>
      <c r="N109" s="49">
        <f t="shared" si="34"/>
        <v>8.44394719345787</v>
      </c>
      <c r="O109" s="51">
        <v>1.2E-07</v>
      </c>
      <c r="P109" s="49">
        <v>0.5</v>
      </c>
      <c r="Q109" s="31">
        <f aca="true" t="shared" si="37" ref="Q109:Q114">P109/O109</f>
        <v>4166666.666666667</v>
      </c>
      <c r="R109" s="49">
        <f t="shared" si="35"/>
        <v>8.443947193457866</v>
      </c>
      <c r="S109" s="14" t="s">
        <v>30</v>
      </c>
      <c r="U109" s="31">
        <f aca="true" t="shared" si="38" ref="U109:U114">GAMMAINV(0.95,P109,1/Q109)</f>
        <v>4.609750979387703E-07</v>
      </c>
      <c r="V109" s="31">
        <f aca="true" t="shared" si="39" ref="V109:V114">GAMMAINV(0.5,P109,1/Q109)</f>
        <v>5.4592371005815966E-08</v>
      </c>
      <c r="W109" s="31">
        <f aca="true" t="shared" si="40" ref="W109:W114">GAMMAINV(0.95,L109,1/M109)</f>
        <v>4.953193531174898E-07</v>
      </c>
      <c r="X109" s="31">
        <f aca="true" t="shared" si="41" ref="X109:X114">GAMMAINV(0.5,L109,1/M109)</f>
        <v>5.865969336014431E-08</v>
      </c>
      <c r="Y109" s="119">
        <v>39114</v>
      </c>
    </row>
    <row r="110" spans="1:25" ht="25.5" customHeight="1">
      <c r="A110" s="14" t="s">
        <v>147</v>
      </c>
      <c r="B110" s="14" t="s">
        <v>148</v>
      </c>
      <c r="C110" s="15" t="s">
        <v>336</v>
      </c>
      <c r="D110" s="52"/>
      <c r="E110" s="52"/>
      <c r="F110" s="52" t="s">
        <v>561</v>
      </c>
      <c r="G110" s="52"/>
      <c r="H110" s="56"/>
      <c r="J110" s="3" t="s">
        <v>521</v>
      </c>
      <c r="K110" s="31">
        <f>K109*0.07</f>
        <v>9.025829344776366E-09</v>
      </c>
      <c r="L110" s="91">
        <v>0.3</v>
      </c>
      <c r="M110" s="111">
        <f t="shared" si="36"/>
        <v>33237942.857142854</v>
      </c>
      <c r="N110" s="49">
        <f t="shared" si="34"/>
        <v>18.765606572139177</v>
      </c>
      <c r="O110" s="51">
        <v>9E-09</v>
      </c>
      <c r="P110" s="49">
        <v>0.3</v>
      </c>
      <c r="Q110" s="31">
        <f t="shared" si="37"/>
        <v>33333333.333333332</v>
      </c>
      <c r="R110" s="49">
        <f t="shared" si="35"/>
        <v>18.76560657213918</v>
      </c>
      <c r="S110" s="14" t="s">
        <v>522</v>
      </c>
      <c r="U110" s="31">
        <f t="shared" si="38"/>
        <v>4.117050374123283E-08</v>
      </c>
      <c r="V110" s="31">
        <f t="shared" si="39"/>
        <v>2.1939340773752356E-09</v>
      </c>
      <c r="W110" s="31">
        <f t="shared" si="40"/>
        <v>4.1288660089649376E-08</v>
      </c>
      <c r="X110" s="31">
        <f t="shared" si="41"/>
        <v>2.2002305084531404E-09</v>
      </c>
      <c r="Y110" s="119">
        <v>39114</v>
      </c>
    </row>
    <row r="111" spans="1:25" ht="25.5" customHeight="1">
      <c r="A111" s="14" t="s">
        <v>713</v>
      </c>
      <c r="B111" s="14" t="s">
        <v>550</v>
      </c>
      <c r="C111" s="15" t="s">
        <v>336</v>
      </c>
      <c r="D111" s="49">
        <v>8.5</v>
      </c>
      <c r="E111" s="111">
        <v>13060000000</v>
      </c>
      <c r="F111" s="52" t="s">
        <v>563</v>
      </c>
      <c r="G111" s="52"/>
      <c r="H111" s="56">
        <f>D111/E111</f>
        <v>6.508422664624808E-10</v>
      </c>
      <c r="I111" s="31">
        <f>(D111+0.5)/E111</f>
        <v>6.891271056661562E-10</v>
      </c>
      <c r="J111" s="3" t="s">
        <v>463</v>
      </c>
      <c r="K111" s="31">
        <f>I111</f>
        <v>6.891271056661562E-10</v>
      </c>
      <c r="L111" s="91">
        <v>0.5</v>
      </c>
      <c r="M111" s="111">
        <f t="shared" si="36"/>
        <v>725555555.5555556</v>
      </c>
      <c r="N111" s="49">
        <f>W111/X111</f>
        <v>8.443947193457866</v>
      </c>
      <c r="O111" s="51">
        <v>7E-10</v>
      </c>
      <c r="P111" s="49">
        <v>0.5</v>
      </c>
      <c r="Q111" s="31">
        <f t="shared" si="37"/>
        <v>714285714.2857143</v>
      </c>
      <c r="R111" s="49">
        <f>U111/V111</f>
        <v>8.443947193457868</v>
      </c>
      <c r="S111" s="14" t="s">
        <v>554</v>
      </c>
      <c r="U111" s="31">
        <f t="shared" si="38"/>
        <v>2.689021404642828E-09</v>
      </c>
      <c r="V111" s="31">
        <f t="shared" si="39"/>
        <v>3.184554975339265E-10</v>
      </c>
      <c r="W111" s="31">
        <f t="shared" si="40"/>
        <v>2.647253625222647E-09</v>
      </c>
      <c r="X111" s="31">
        <f t="shared" si="41"/>
        <v>3.1350902185575785E-10</v>
      </c>
      <c r="Y111" s="119">
        <v>39114</v>
      </c>
    </row>
    <row r="112" spans="1:25" ht="25.5" customHeight="1">
      <c r="A112" s="14" t="s">
        <v>714</v>
      </c>
      <c r="B112" s="14" t="s">
        <v>551</v>
      </c>
      <c r="C112" s="15" t="s">
        <v>336</v>
      </c>
      <c r="D112" s="52"/>
      <c r="E112" s="52"/>
      <c r="F112" s="52" t="s">
        <v>563</v>
      </c>
      <c r="G112" s="52"/>
      <c r="H112" s="56"/>
      <c r="J112" s="3" t="s">
        <v>555</v>
      </c>
      <c r="K112" s="31">
        <f>K111*0.2</f>
        <v>1.3782542113323123E-10</v>
      </c>
      <c r="L112" s="91">
        <v>0.3</v>
      </c>
      <c r="M112" s="111">
        <f t="shared" si="36"/>
        <v>2176666666.6666665</v>
      </c>
      <c r="N112" s="49">
        <f>W112/X112</f>
        <v>18.76560657213917</v>
      </c>
      <c r="O112" s="51">
        <v>1.5E-10</v>
      </c>
      <c r="P112" s="49">
        <v>0.3</v>
      </c>
      <c r="Q112" s="31">
        <f t="shared" si="37"/>
        <v>2000000000</v>
      </c>
      <c r="R112" s="49">
        <f>U112/V112</f>
        <v>18.765606572139173</v>
      </c>
      <c r="S112" s="14" t="s">
        <v>556</v>
      </c>
      <c r="U112" s="31">
        <f t="shared" si="38"/>
        <v>6.861750623538803E-10</v>
      </c>
      <c r="V112" s="31">
        <f t="shared" si="39"/>
        <v>3.656556795625393E-11</v>
      </c>
      <c r="W112" s="31">
        <f t="shared" si="40"/>
        <v>6.30482446266965E-10</v>
      </c>
      <c r="X112" s="31">
        <f t="shared" si="41"/>
        <v>3.359776535030989E-11</v>
      </c>
      <c r="Y112" s="119">
        <v>39114</v>
      </c>
    </row>
    <row r="113" spans="1:25" ht="25.5" customHeight="1">
      <c r="A113" s="14" t="s">
        <v>715</v>
      </c>
      <c r="B113" s="14" t="s">
        <v>552</v>
      </c>
      <c r="C113" s="15" t="s">
        <v>336</v>
      </c>
      <c r="D113" s="49">
        <v>3.5</v>
      </c>
      <c r="E113" s="111">
        <v>15830000000</v>
      </c>
      <c r="F113" s="52" t="s">
        <v>563</v>
      </c>
      <c r="G113" s="52"/>
      <c r="H113" s="56">
        <f>D113/E113</f>
        <v>2.2109917877447884E-10</v>
      </c>
      <c r="I113" s="31">
        <f>(D113+0.5)/E113</f>
        <v>2.5268477574226155E-10</v>
      </c>
      <c r="J113" s="3" t="s">
        <v>463</v>
      </c>
      <c r="K113" s="31">
        <f>I113</f>
        <v>2.5268477574226155E-10</v>
      </c>
      <c r="L113" s="91">
        <v>0.5</v>
      </c>
      <c r="M113" s="111">
        <f t="shared" si="36"/>
        <v>1978749999.9999998</v>
      </c>
      <c r="N113" s="49">
        <f>W113/X113</f>
        <v>8.443947193457864</v>
      </c>
      <c r="O113" s="51">
        <v>2.5E-10</v>
      </c>
      <c r="P113" s="49">
        <v>0.5</v>
      </c>
      <c r="Q113" s="31">
        <f t="shared" si="37"/>
        <v>1999999999.9999998</v>
      </c>
      <c r="R113" s="49">
        <f>U113/V113</f>
        <v>8.443947193457866</v>
      </c>
      <c r="S113" s="14" t="s">
        <v>554</v>
      </c>
      <c r="U113" s="31">
        <f t="shared" si="38"/>
        <v>9.603647873724383E-10</v>
      </c>
      <c r="V113" s="31">
        <f t="shared" si="39"/>
        <v>1.1373410626211661E-10</v>
      </c>
      <c r="W113" s="31">
        <f t="shared" si="40"/>
        <v>9.706782437118769E-10</v>
      </c>
      <c r="X113" s="31">
        <f t="shared" si="41"/>
        <v>1.1495550854035793E-10</v>
      </c>
      <c r="Y113" s="119">
        <v>39114</v>
      </c>
    </row>
    <row r="114" spans="1:25" ht="25.5" customHeight="1">
      <c r="A114" s="14" t="s">
        <v>716</v>
      </c>
      <c r="B114" s="14" t="s">
        <v>553</v>
      </c>
      <c r="C114" s="15" t="s">
        <v>336</v>
      </c>
      <c r="D114" s="52"/>
      <c r="E114" s="52"/>
      <c r="F114" s="52" t="s">
        <v>563</v>
      </c>
      <c r="G114" s="52"/>
      <c r="H114" s="56"/>
      <c r="J114" s="3" t="s">
        <v>557</v>
      </c>
      <c r="K114" s="31">
        <f>K113*0.1</f>
        <v>2.5268477574226158E-11</v>
      </c>
      <c r="L114" s="91">
        <v>0.3</v>
      </c>
      <c r="M114" s="111">
        <f t="shared" si="36"/>
        <v>11872499999.999998</v>
      </c>
      <c r="N114" s="49">
        <f>W114/X114</f>
        <v>18.765606572139177</v>
      </c>
      <c r="O114" s="51">
        <v>2.5E-11</v>
      </c>
      <c r="P114" s="49">
        <v>0.3</v>
      </c>
      <c r="Q114" s="31">
        <f t="shared" si="37"/>
        <v>12000000000</v>
      </c>
      <c r="R114" s="49">
        <f>U114/V114</f>
        <v>18.76560657213918</v>
      </c>
      <c r="S114" s="14" t="s">
        <v>558</v>
      </c>
      <c r="U114" s="31">
        <f t="shared" si="38"/>
        <v>1.143625103923134E-10</v>
      </c>
      <c r="V114" s="31">
        <f t="shared" si="39"/>
        <v>6.0942613260423206E-12</v>
      </c>
      <c r="W114" s="31">
        <f t="shared" si="40"/>
        <v>1.1559066116721508E-10</v>
      </c>
      <c r="X114" s="31">
        <f t="shared" si="41"/>
        <v>6.1597082259429665E-12</v>
      </c>
      <c r="Y114" s="119">
        <v>39114</v>
      </c>
    </row>
    <row r="115" spans="1:25" ht="25.5" customHeight="1">
      <c r="A115" s="14" t="s">
        <v>71</v>
      </c>
      <c r="B115" s="14" t="s">
        <v>70</v>
      </c>
      <c r="C115" s="2" t="s">
        <v>52</v>
      </c>
      <c r="D115" s="49">
        <v>24.3</v>
      </c>
      <c r="E115" s="52">
        <v>4887</v>
      </c>
      <c r="F115" s="52" t="s">
        <v>562</v>
      </c>
      <c r="G115" s="52"/>
      <c r="H115" s="31">
        <f>D115/E115</f>
        <v>0.004972375690607735</v>
      </c>
      <c r="I115" s="31">
        <f>(D115+0.5)/(E115+1)</f>
        <v>0.005073649754500818</v>
      </c>
      <c r="J115" s="3" t="s">
        <v>456</v>
      </c>
      <c r="K115" s="56">
        <f>I115</f>
        <v>0.005073649754500818</v>
      </c>
      <c r="L115" s="91">
        <v>0.5</v>
      </c>
      <c r="M115" s="111">
        <f>L115*(1-K115)/K115</f>
        <v>98.04838709677419</v>
      </c>
      <c r="N115" s="49">
        <f t="shared" si="34"/>
        <v>8.371249342552563</v>
      </c>
      <c r="O115" s="51">
        <v>0.005</v>
      </c>
      <c r="P115" s="49">
        <v>0.5</v>
      </c>
      <c r="Q115" s="31">
        <f>P115*(1-O115)/O115</f>
        <v>99.5</v>
      </c>
      <c r="R115" s="49">
        <f t="shared" si="35"/>
        <v>8.372327961048768</v>
      </c>
      <c r="U115" s="31">
        <f>BETAINV(0.95,P115,Q115)</f>
        <v>0.019166231155395508</v>
      </c>
      <c r="V115" s="31">
        <f>BETAINV(0.5,P115,Q115)</f>
        <v>0.0022892355918884277</v>
      </c>
      <c r="W115" s="31">
        <f>BETAINV(0.95,L115,M115)</f>
        <v>0.019447922706604004</v>
      </c>
      <c r="X115" s="31">
        <f>BETAINV(0.5,L115,M115)</f>
        <v>0.0023231804370880127</v>
      </c>
      <c r="Y115" s="119">
        <v>39114</v>
      </c>
    </row>
    <row r="116" spans="1:25" ht="25.5" customHeight="1">
      <c r="A116" s="14" t="s">
        <v>91</v>
      </c>
      <c r="B116" s="14" t="s">
        <v>92</v>
      </c>
      <c r="C116" s="2" t="s">
        <v>52</v>
      </c>
      <c r="D116" s="52" t="s">
        <v>191</v>
      </c>
      <c r="E116" s="52"/>
      <c r="F116" s="52" t="s">
        <v>562</v>
      </c>
      <c r="G116" s="52"/>
      <c r="H116" s="56"/>
      <c r="J116" s="3" t="s">
        <v>476</v>
      </c>
      <c r="K116" s="31">
        <f>K117</f>
        <v>0.0006254114549045424</v>
      </c>
      <c r="L116" s="91">
        <f>L117</f>
        <v>0.5</v>
      </c>
      <c r="M116" s="111">
        <f>L116*(1-K116)/K116</f>
        <v>798.9736842105264</v>
      </c>
      <c r="N116" s="49">
        <f>W116/X116</f>
        <v>8.435000179887293</v>
      </c>
      <c r="O116" s="51">
        <f>O117</f>
        <v>0.0006</v>
      </c>
      <c r="P116" s="49">
        <f>P117</f>
        <v>0.5</v>
      </c>
      <c r="Q116" s="31">
        <f>P116*(1-O116)/O116</f>
        <v>832.8333333333334</v>
      </c>
      <c r="R116" s="49">
        <f t="shared" si="35"/>
        <v>8.435368861750783</v>
      </c>
      <c r="S116" s="14" t="s">
        <v>477</v>
      </c>
      <c r="U116" s="31">
        <f>BETAINV(0.95,P116,Q116)</f>
        <v>0.002304293215274811</v>
      </c>
      <c r="V116" s="31">
        <f>BETAINV(0.5,P116,Q116)</f>
        <v>0.0002731704153120518</v>
      </c>
      <c r="W116" s="31">
        <f>BETAINV(0.95,L116,M116)</f>
        <v>0.0024018585681915283</v>
      </c>
      <c r="X116" s="31">
        <f>BETAINV(0.5,L116,M116)</f>
        <v>0.0002847490832209587</v>
      </c>
      <c r="Y116" s="119">
        <v>39114</v>
      </c>
    </row>
    <row r="117" spans="1:25" ht="25.5" customHeight="1">
      <c r="A117" s="14" t="s">
        <v>73</v>
      </c>
      <c r="B117" s="14" t="s">
        <v>72</v>
      </c>
      <c r="C117" s="2" t="s">
        <v>52</v>
      </c>
      <c r="D117" s="49">
        <v>3.3</v>
      </c>
      <c r="E117" s="52">
        <v>6075</v>
      </c>
      <c r="F117" s="52" t="s">
        <v>562</v>
      </c>
      <c r="G117" s="52"/>
      <c r="H117" s="31">
        <f>D117/E117</f>
        <v>0.0005432098765432099</v>
      </c>
      <c r="I117" s="31">
        <f>(D117+0.5)/(E117+1)</f>
        <v>0.0006254114549045424</v>
      </c>
      <c r="J117" s="3" t="s">
        <v>456</v>
      </c>
      <c r="K117" s="56">
        <f>I117</f>
        <v>0.0006254114549045424</v>
      </c>
      <c r="L117" s="91">
        <v>0.5</v>
      </c>
      <c r="M117" s="111">
        <f>L117*(1-K117)/K117</f>
        <v>798.9736842105264</v>
      </c>
      <c r="N117" s="49">
        <f>W117/X117</f>
        <v>8.435000179887293</v>
      </c>
      <c r="O117" s="51">
        <v>0.0006</v>
      </c>
      <c r="P117" s="49">
        <v>0.5</v>
      </c>
      <c r="Q117" s="31">
        <f>P117*(1-O117)/O117</f>
        <v>832.8333333333334</v>
      </c>
      <c r="R117" s="49">
        <f>U117/V117</f>
        <v>8.435368861750783</v>
      </c>
      <c r="U117" s="31">
        <f>BETAINV(0.95,P117,Q117)</f>
        <v>0.002304293215274811</v>
      </c>
      <c r="V117" s="31">
        <f>BETAINV(0.5,P117,Q117)</f>
        <v>0.0002731704153120518</v>
      </c>
      <c r="W117" s="31">
        <f>BETAINV(0.95,L117,M117)</f>
        <v>0.0024018585681915283</v>
      </c>
      <c r="X117" s="31">
        <f>BETAINV(0.5,L117,M117)</f>
        <v>0.0002847490832209587</v>
      </c>
      <c r="Y117" s="119">
        <v>39114</v>
      </c>
    </row>
    <row r="118" spans="1:25" ht="25.5" customHeight="1">
      <c r="A118" s="14" t="s">
        <v>68</v>
      </c>
      <c r="B118" s="14" t="s">
        <v>69</v>
      </c>
      <c r="C118" s="2" t="s">
        <v>52</v>
      </c>
      <c r="D118" s="49">
        <v>5.6</v>
      </c>
      <c r="E118" s="52">
        <v>38115</v>
      </c>
      <c r="F118" s="52" t="s">
        <v>562</v>
      </c>
      <c r="G118" s="52"/>
      <c r="H118" s="31">
        <f>D118/E118</f>
        <v>0.00014692378328741963</v>
      </c>
      <c r="I118" s="31">
        <f>(D118+0.5)/(E118+1)</f>
        <v>0.00016003777941022142</v>
      </c>
      <c r="J118" s="3" t="s">
        <v>456</v>
      </c>
      <c r="K118" s="56">
        <f>I118</f>
        <v>0.00016003777941022142</v>
      </c>
      <c r="L118" s="91">
        <v>0.5</v>
      </c>
      <c r="M118" s="111">
        <f>L118*(1-K118)/K118</f>
        <v>3123.7622950819673</v>
      </c>
      <c r="N118" s="49">
        <f>W118/X118</f>
        <v>8.441644352434317</v>
      </c>
      <c r="O118" s="51">
        <v>0.00015</v>
      </c>
      <c r="P118" s="49">
        <v>0.5</v>
      </c>
      <c r="Q118" s="31">
        <f>P118*(1-O118)/O118</f>
        <v>3332.8333333333335</v>
      </c>
      <c r="R118" s="49">
        <f>U118/V118</f>
        <v>8.441813223081292</v>
      </c>
      <c r="U118" s="31">
        <f>BETAINV(0.95,P118,Q118)</f>
        <v>0.0005761831998825073</v>
      </c>
      <c r="V118" s="31">
        <f>BETAINV(0.5,P118,Q118)</f>
        <v>6.825348827987909E-05</v>
      </c>
      <c r="W118" s="31">
        <f>BETAINV(0.95,L118,M118)</f>
        <v>0.0006147362291812897</v>
      </c>
      <c r="X118" s="31">
        <f>BETAINV(0.5,L118,M118)</f>
        <v>7.282185833901167E-05</v>
      </c>
      <c r="Y118" s="119">
        <v>39114</v>
      </c>
    </row>
    <row r="119" spans="1:25" ht="25.5" customHeight="1">
      <c r="A119" s="54" t="s">
        <v>403</v>
      </c>
      <c r="B119" s="54" t="s">
        <v>404</v>
      </c>
      <c r="C119" s="58" t="s">
        <v>336</v>
      </c>
      <c r="D119" s="60">
        <v>9</v>
      </c>
      <c r="E119" s="60">
        <v>74199</v>
      </c>
      <c r="F119" s="60" t="s">
        <v>561</v>
      </c>
      <c r="G119" s="60">
        <v>180</v>
      </c>
      <c r="H119" s="56">
        <f>D119/E119</f>
        <v>0.00012129543524845349</v>
      </c>
      <c r="I119" s="31">
        <f>(D119+0.5)/E119</f>
        <v>0.00012803407054003422</v>
      </c>
      <c r="J119" s="15" t="s">
        <v>348</v>
      </c>
      <c r="K119" s="56">
        <v>0.000135</v>
      </c>
      <c r="L119" s="92">
        <v>1.389</v>
      </c>
      <c r="M119" s="111">
        <f>L119/K119</f>
        <v>10288.888888888889</v>
      </c>
      <c r="N119" s="49">
        <f>W119/X119</f>
        <v>3.458743422946935</v>
      </c>
      <c r="O119" s="59">
        <v>0.00012</v>
      </c>
      <c r="P119" s="57">
        <v>1.5</v>
      </c>
      <c r="Q119" s="56">
        <f>P119/O119</f>
        <v>12500</v>
      </c>
      <c r="R119" s="49">
        <f>U119/V119</f>
        <v>3.3029644950713473</v>
      </c>
      <c r="S119" s="54"/>
      <c r="U119" s="31">
        <f>GAMMAINV(0.95,P119,1/Q119)</f>
        <v>0.00031258911055799467</v>
      </c>
      <c r="V119" s="31">
        <f>GAMMAINV(0.5,P119,1/Q119)</f>
        <v>9.463895570916285E-05</v>
      </c>
      <c r="W119" s="31">
        <f>GAMMAINV(0.95,L119,1/M119)</f>
        <v>0.00036088359664787737</v>
      </c>
      <c r="X119" s="31">
        <f>GAMMAINV(0.5,L119,1/M119)</f>
        <v>0.00010433951077538895</v>
      </c>
      <c r="Y119" s="119">
        <v>39114</v>
      </c>
    </row>
    <row r="120" spans="1:25" ht="25.5" customHeight="1">
      <c r="A120" s="14" t="s">
        <v>478</v>
      </c>
      <c r="B120" s="14" t="s">
        <v>479</v>
      </c>
      <c r="C120" s="2" t="s">
        <v>336</v>
      </c>
      <c r="D120" s="52">
        <v>4</v>
      </c>
      <c r="E120" s="52">
        <v>16776</v>
      </c>
      <c r="F120" s="52" t="s">
        <v>562</v>
      </c>
      <c r="G120" s="52">
        <v>180</v>
      </c>
      <c r="H120" s="31">
        <f>D120/E120</f>
        <v>0.0002384358607534573</v>
      </c>
      <c r="I120" s="31">
        <f>(D120+0.5)/(E120+1)</f>
        <v>0.00026822435477141327</v>
      </c>
      <c r="J120" s="3" t="s">
        <v>456</v>
      </c>
      <c r="K120" s="56">
        <f>I120</f>
        <v>0.00026822435477141327</v>
      </c>
      <c r="L120" s="91">
        <v>0.5</v>
      </c>
      <c r="M120" s="111">
        <f>L120*(1-K120)/K120</f>
        <v>1863.611111111111</v>
      </c>
      <c r="N120" s="49">
        <f>W120/X120</f>
        <v>8.440137943662831</v>
      </c>
      <c r="O120" s="51">
        <v>0.00025</v>
      </c>
      <c r="P120" s="49">
        <v>0.5</v>
      </c>
      <c r="Q120" s="31">
        <f>P120*(1-O120)/O120</f>
        <v>1999.5</v>
      </c>
      <c r="R120" s="49">
        <f>U120/V120</f>
        <v>8.440373280943026</v>
      </c>
      <c r="U120" s="31">
        <f>BETAINV(0.95,P120,Q120)</f>
        <v>0.0009602643549442291</v>
      </c>
      <c r="V120" s="31">
        <f>BETAINV(0.5,P120,Q120)</f>
        <v>0.00011377036571502686</v>
      </c>
      <c r="W120" s="31">
        <f>BETAINV(0.95,L120,M120)</f>
        <v>0.00103025883436203</v>
      </c>
      <c r="X120" s="31">
        <f>BETAINV(0.5,L120,M120)</f>
        <v>0.00012206658720970154</v>
      </c>
      <c r="Y120" s="119">
        <v>39114</v>
      </c>
    </row>
    <row r="121" spans="1:25" ht="25.5" customHeight="1">
      <c r="A121" s="14" t="s">
        <v>405</v>
      </c>
      <c r="B121" s="14" t="s">
        <v>406</v>
      </c>
      <c r="C121" s="58" t="s">
        <v>336</v>
      </c>
      <c r="D121" s="52">
        <v>2</v>
      </c>
      <c r="E121" s="52">
        <v>2461</v>
      </c>
      <c r="F121" s="52" t="s">
        <v>562</v>
      </c>
      <c r="G121" s="52">
        <v>59</v>
      </c>
      <c r="H121" s="56">
        <f aca="true" t="shared" si="42" ref="H121:H131">D121/E121</f>
        <v>0.0008126777732629012</v>
      </c>
      <c r="I121" s="31">
        <f>(D121+0.5)/(E121+1)</f>
        <v>0.0010154346060113728</v>
      </c>
      <c r="J121" s="3" t="s">
        <v>456</v>
      </c>
      <c r="K121" s="56">
        <f>I121</f>
        <v>0.0010154346060113728</v>
      </c>
      <c r="L121" s="91">
        <v>0.5</v>
      </c>
      <c r="M121" s="111">
        <f>L121*(1-K121)/K121</f>
        <v>491.90000000000003</v>
      </c>
      <c r="N121" s="49">
        <f aca="true" t="shared" si="43" ref="N121:N134">W121/X121</f>
        <v>8.429423395199189</v>
      </c>
      <c r="O121" s="51">
        <v>0.001</v>
      </c>
      <c r="P121" s="49">
        <v>0.5</v>
      </c>
      <c r="Q121" s="31">
        <f>P121*(1-O121)/O121</f>
        <v>499.5</v>
      </c>
      <c r="R121" s="49">
        <f aca="true" t="shared" si="44" ref="R121:R134">U121/V121</f>
        <v>8.429649196697648</v>
      </c>
      <c r="U121" s="31">
        <f>BETAINV(0.95,P121,Q121)</f>
        <v>0.003839835524559021</v>
      </c>
      <c r="V121" s="31">
        <f>BETAINV(0.5,P121,Q121)</f>
        <v>0.00045551545917987823</v>
      </c>
      <c r="W121" s="31">
        <f>BETAINV(0.95,L121,M121)</f>
        <v>0.0038990825414657593</v>
      </c>
      <c r="X121" s="31">
        <f>BETAINV(0.5,L121,M121)</f>
        <v>0.00046255625784397125</v>
      </c>
      <c r="Y121" s="119">
        <v>39114</v>
      </c>
    </row>
    <row r="122" spans="1:25" ht="25.5" customHeight="1">
      <c r="A122" s="14" t="s">
        <v>74</v>
      </c>
      <c r="B122" s="14" t="s">
        <v>75</v>
      </c>
      <c r="C122" s="58" t="s">
        <v>336</v>
      </c>
      <c r="D122" s="52">
        <v>0</v>
      </c>
      <c r="E122" s="52">
        <f>G122*8*8760</f>
        <v>4134720</v>
      </c>
      <c r="F122" s="52" t="s">
        <v>561</v>
      </c>
      <c r="G122" s="52">
        <v>59</v>
      </c>
      <c r="H122" s="56">
        <f t="shared" si="42"/>
        <v>0</v>
      </c>
      <c r="I122" s="31">
        <f>(D122+0.5)/E122</f>
        <v>1.2092717281944122E-07</v>
      </c>
      <c r="J122" s="3" t="s">
        <v>463</v>
      </c>
      <c r="K122" s="31">
        <f>I122</f>
        <v>1.2092717281944122E-07</v>
      </c>
      <c r="L122" s="91">
        <v>0.5</v>
      </c>
      <c r="M122" s="111">
        <f>L122/K122</f>
        <v>4134720</v>
      </c>
      <c r="N122" s="49">
        <f t="shared" si="43"/>
        <v>8.443947193457864</v>
      </c>
      <c r="O122" s="51">
        <v>1.2E-07</v>
      </c>
      <c r="P122" s="49">
        <v>0.5</v>
      </c>
      <c r="Q122" s="31">
        <f>P122/O122</f>
        <v>4166666.666666667</v>
      </c>
      <c r="R122" s="49">
        <f t="shared" si="44"/>
        <v>8.443947193457866</v>
      </c>
      <c r="S122" s="14" t="s">
        <v>448</v>
      </c>
      <c r="U122" s="31">
        <f>GAMMAINV(0.95,P122,1/Q122)</f>
        <v>4.609750979387703E-07</v>
      </c>
      <c r="V122" s="31">
        <f>GAMMAINV(0.5,P122,1/Q122)</f>
        <v>5.4592371005815966E-08</v>
      </c>
      <c r="W122" s="31">
        <f>GAMMAINV(0.95,L122,1/M122)</f>
        <v>4.64536794449171E-07</v>
      </c>
      <c r="X122" s="31">
        <f>GAMMAINV(0.5,L122,1/M122)</f>
        <v>5.501417569369467E-08</v>
      </c>
      <c r="Y122" s="119">
        <v>39114</v>
      </c>
    </row>
    <row r="123" spans="1:25" ht="25.5" customHeight="1">
      <c r="A123" s="14" t="s">
        <v>407</v>
      </c>
      <c r="B123" s="14" t="s">
        <v>408</v>
      </c>
      <c r="C123" s="58" t="s">
        <v>336</v>
      </c>
      <c r="D123" s="52">
        <v>5</v>
      </c>
      <c r="E123" s="52">
        <v>5054</v>
      </c>
      <c r="F123" s="52" t="s">
        <v>562</v>
      </c>
      <c r="G123" s="52">
        <v>235</v>
      </c>
      <c r="H123" s="56">
        <f t="shared" si="42"/>
        <v>0.0009893153937475267</v>
      </c>
      <c r="I123" s="31">
        <f>(D123+0.5)/(E123+1)</f>
        <v>0.0010880316518298715</v>
      </c>
      <c r="J123" s="3" t="s">
        <v>456</v>
      </c>
      <c r="K123" s="56">
        <f>I123</f>
        <v>0.0010880316518298715</v>
      </c>
      <c r="L123" s="91">
        <v>0.5</v>
      </c>
      <c r="M123" s="111">
        <f aca="true" t="shared" si="45" ref="M123:M131">L123*(1-K123)/K123</f>
        <v>459.0454545454545</v>
      </c>
      <c r="N123" s="49">
        <f t="shared" si="43"/>
        <v>8.428406889593273</v>
      </c>
      <c r="O123" s="51">
        <v>0.001</v>
      </c>
      <c r="P123" s="49">
        <v>0.5</v>
      </c>
      <c r="Q123" s="31">
        <f aca="true" t="shared" si="46" ref="Q123:Q131">P123*(1-O123)/O123</f>
        <v>499.5</v>
      </c>
      <c r="R123" s="49">
        <f t="shared" si="44"/>
        <v>8.429649196697648</v>
      </c>
      <c r="U123" s="31">
        <f aca="true" t="shared" si="47" ref="U123:U131">BETAINV(0.95,P123,Q123)</f>
        <v>0.003839835524559021</v>
      </c>
      <c r="V123" s="31">
        <f aca="true" t="shared" si="48" ref="V123:V131">BETAINV(0.5,P123,Q123)</f>
        <v>0.00045551545917987823</v>
      </c>
      <c r="W123" s="31">
        <f>BETAINV(0.95,L123,M123)</f>
        <v>0.004177719354629517</v>
      </c>
      <c r="X123" s="31">
        <f>BETAINV(0.5,L123,M123)</f>
        <v>0.0004956712946295738</v>
      </c>
      <c r="Y123" s="119">
        <v>39114</v>
      </c>
    </row>
    <row r="124" spans="1:25" ht="25.5" customHeight="1">
      <c r="A124" s="14" t="s">
        <v>474</v>
      </c>
      <c r="B124" s="14" t="s">
        <v>475</v>
      </c>
      <c r="C124" s="58" t="s">
        <v>336</v>
      </c>
      <c r="D124" s="52">
        <v>33</v>
      </c>
      <c r="E124" s="52">
        <v>5054</v>
      </c>
      <c r="F124" s="52" t="s">
        <v>562</v>
      </c>
      <c r="G124" s="52">
        <v>235</v>
      </c>
      <c r="H124" s="56">
        <f t="shared" si="42"/>
        <v>0.0065294815987336765</v>
      </c>
      <c r="I124" s="31">
        <f>(D124+0.5)/(E124+1)</f>
        <v>0.006627101879327399</v>
      </c>
      <c r="J124" s="3" t="s">
        <v>355</v>
      </c>
      <c r="K124" s="31">
        <v>0.00725</v>
      </c>
      <c r="L124" s="91">
        <v>0.435</v>
      </c>
      <c r="M124" s="111">
        <f t="shared" si="45"/>
        <v>59.565</v>
      </c>
      <c r="N124" s="49">
        <f t="shared" si="43"/>
        <v>10.0106654395787</v>
      </c>
      <c r="O124" s="51">
        <v>0.007</v>
      </c>
      <c r="P124" s="49">
        <v>0.4</v>
      </c>
      <c r="Q124" s="31">
        <f t="shared" si="46"/>
        <v>56.74285714285714</v>
      </c>
      <c r="R124" s="49">
        <f t="shared" si="44"/>
        <v>11.303001102919835</v>
      </c>
      <c r="S124" s="54"/>
      <c r="U124" s="31">
        <f t="shared" si="47"/>
        <v>0.029015064239501953</v>
      </c>
      <c r="V124" s="31">
        <f t="shared" si="48"/>
        <v>0.0025670230388641357</v>
      </c>
      <c r="W124" s="31">
        <f>BETAINV(0.95,L124,M124)</f>
        <v>0.029175519943237305</v>
      </c>
      <c r="X124" s="31">
        <f>BETAINV(0.5,L124,M124)</f>
        <v>0.002914443612098694</v>
      </c>
      <c r="Y124" s="119">
        <v>39114</v>
      </c>
    </row>
    <row r="125" spans="1:25" ht="25.5" customHeight="1">
      <c r="A125" s="14" t="s">
        <v>645</v>
      </c>
      <c r="B125" s="14" t="s">
        <v>646</v>
      </c>
      <c r="C125" s="58" t="s">
        <v>336</v>
      </c>
      <c r="D125" s="52">
        <v>5</v>
      </c>
      <c r="E125" s="52">
        <f>G125*5*8760</f>
        <v>10555800</v>
      </c>
      <c r="F125" s="52" t="s">
        <v>561</v>
      </c>
      <c r="G125" s="52">
        <v>241</v>
      </c>
      <c r="H125" s="56">
        <f>D125/E125</f>
        <v>4.736732412512552E-07</v>
      </c>
      <c r="I125" s="31">
        <f>(D125+0.5)/E125</f>
        <v>5.210405653763807E-07</v>
      </c>
      <c r="J125" s="3" t="s">
        <v>461</v>
      </c>
      <c r="K125" s="31">
        <v>4.63E-07</v>
      </c>
      <c r="L125" s="91">
        <v>0.3</v>
      </c>
      <c r="M125" s="111">
        <f>L125/K125</f>
        <v>647948.1641468683</v>
      </c>
      <c r="N125" s="49">
        <f>W125/X125</f>
        <v>18.765606572139173</v>
      </c>
      <c r="O125" s="51">
        <v>5E-07</v>
      </c>
      <c r="P125" s="49">
        <v>0.5</v>
      </c>
      <c r="Q125" s="31">
        <f>P125/O125</f>
        <v>1000000</v>
      </c>
      <c r="R125" s="49">
        <f>U125/V125</f>
        <v>8.443947193457866</v>
      </c>
      <c r="U125" s="31">
        <f>GAMMAINV(0.95,P125,1/Q125)</f>
        <v>1.9207295747448765E-06</v>
      </c>
      <c r="V125" s="31">
        <f>GAMMAINV(0.5,P125,1/Q125)</f>
        <v>2.2746821252423323E-07</v>
      </c>
      <c r="W125" s="31">
        <f>GAMMAINV(0.95,L125,1/M125)</f>
        <v>2.117993692465644E-06</v>
      </c>
      <c r="X125" s="31">
        <f>GAMMAINV(0.5,L125,1/M125)</f>
        <v>1.128657197583038E-07</v>
      </c>
      <c r="Y125" s="119">
        <v>39114</v>
      </c>
    </row>
    <row r="126" spans="1:25" ht="25.5" customHeight="1">
      <c r="A126" s="14" t="s">
        <v>56</v>
      </c>
      <c r="B126" s="14" t="s">
        <v>57</v>
      </c>
      <c r="C126" s="2" t="s">
        <v>52</v>
      </c>
      <c r="D126" s="49">
        <v>23.7</v>
      </c>
      <c r="E126" s="52">
        <v>974417</v>
      </c>
      <c r="F126" s="52" t="s">
        <v>562</v>
      </c>
      <c r="G126" s="52"/>
      <c r="H126" s="31">
        <f t="shared" si="42"/>
        <v>2.432223575738108E-05</v>
      </c>
      <c r="I126" s="31">
        <f>(D126+0.5)/E126</f>
        <v>2.483536309403469E-05</v>
      </c>
      <c r="J126" s="3" t="s">
        <v>456</v>
      </c>
      <c r="K126" s="56">
        <f>I126</f>
        <v>2.483536309403469E-05</v>
      </c>
      <c r="L126" s="91">
        <v>0.5</v>
      </c>
      <c r="M126" s="111">
        <f t="shared" si="45"/>
        <v>20132.0826446281</v>
      </c>
      <c r="N126" s="49">
        <f t="shared" si="43"/>
        <v>8.443576679562934</v>
      </c>
      <c r="O126" s="51">
        <v>2.5E-05</v>
      </c>
      <c r="P126" s="49">
        <v>0.5</v>
      </c>
      <c r="Q126" s="31">
        <f t="shared" si="46"/>
        <v>19999.499999999996</v>
      </c>
      <c r="R126" s="49">
        <f t="shared" si="44"/>
        <v>8.44360286591607</v>
      </c>
      <c r="U126" s="31">
        <f t="shared" si="47"/>
        <v>9.60356555879116E-05</v>
      </c>
      <c r="V126" s="31">
        <f t="shared" si="48"/>
        <v>1.1373776942491531E-05</v>
      </c>
      <c r="W126" s="31">
        <f aca="true" t="shared" si="49" ref="W126:W131">BETAINV(0.95,L126,M126)</f>
        <v>9.540282189846039E-05</v>
      </c>
      <c r="X126" s="31">
        <f aca="true" t="shared" si="50" ref="X126:X131">BETAINV(0.5,L126,M126)</f>
        <v>1.1298863682895899E-05</v>
      </c>
      <c r="Y126" s="119">
        <v>39114</v>
      </c>
    </row>
    <row r="127" spans="1:25" ht="25.5" customHeight="1">
      <c r="A127" s="14" t="s">
        <v>717</v>
      </c>
      <c r="B127" s="14" t="s">
        <v>51</v>
      </c>
      <c r="C127" s="2" t="s">
        <v>52</v>
      </c>
      <c r="D127" s="49">
        <v>1</v>
      </c>
      <c r="E127" s="52">
        <v>97359</v>
      </c>
      <c r="F127" s="52" t="s">
        <v>562</v>
      </c>
      <c r="G127" s="52"/>
      <c r="H127" s="56">
        <f>D127/E127</f>
        <v>1.0271264084470877E-05</v>
      </c>
      <c r="I127" s="56">
        <f>(D127+0.5)/E127</f>
        <v>1.5406896126706312E-05</v>
      </c>
      <c r="J127" s="3" t="s">
        <v>456</v>
      </c>
      <c r="K127" s="56">
        <f>I127</f>
        <v>1.5406896126706312E-05</v>
      </c>
      <c r="L127" s="91">
        <v>0.5</v>
      </c>
      <c r="M127" s="111">
        <f>L127*(1-K127)/K127</f>
        <v>32452.500000000004</v>
      </c>
      <c r="N127" s="49">
        <f>W127/X127</f>
        <v>8.443734883479525</v>
      </c>
      <c r="O127" s="51">
        <v>1.5E-05</v>
      </c>
      <c r="P127" s="49">
        <v>0.5</v>
      </c>
      <c r="Q127" s="31">
        <f t="shared" si="46"/>
        <v>33332.833333333336</v>
      </c>
      <c r="R127" s="49">
        <f>U127/V127</f>
        <v>8.443710897017619</v>
      </c>
      <c r="U127" s="31">
        <f>BETAINV(0.95,P127,Q127)</f>
        <v>5.7621393352746964E-05</v>
      </c>
      <c r="V127" s="31">
        <f>BETAINV(0.5,P127,Q127)</f>
        <v>6.824178854003549E-06</v>
      </c>
      <c r="W127" s="31">
        <f t="shared" si="49"/>
        <v>5.9184618294239044E-05</v>
      </c>
      <c r="X127" s="31">
        <f t="shared" si="50"/>
        <v>7.009293767623603E-06</v>
      </c>
      <c r="Y127" s="119">
        <v>39114</v>
      </c>
    </row>
    <row r="128" spans="1:25" ht="25.5" customHeight="1">
      <c r="A128" s="14" t="s">
        <v>718</v>
      </c>
      <c r="B128" s="14" t="s">
        <v>53</v>
      </c>
      <c r="C128" s="2" t="s">
        <v>52</v>
      </c>
      <c r="D128" s="49">
        <v>14</v>
      </c>
      <c r="E128" s="52">
        <v>44104</v>
      </c>
      <c r="F128" s="52" t="s">
        <v>562</v>
      </c>
      <c r="G128" s="52"/>
      <c r="H128" s="56">
        <f>D128/E128</f>
        <v>0.00031743152548521677</v>
      </c>
      <c r="I128" s="56">
        <f>(D128+0.5)/E128</f>
        <v>0.00032876836568111734</v>
      </c>
      <c r="J128" s="3" t="s">
        <v>456</v>
      </c>
      <c r="K128" s="56">
        <f>I128</f>
        <v>0.00032876836568111734</v>
      </c>
      <c r="L128" s="91">
        <v>0.5</v>
      </c>
      <c r="M128" s="111">
        <f>L128*(1-K128)/K128</f>
        <v>1520.3275862068967</v>
      </c>
      <c r="N128" s="49">
        <f>W128/X128</f>
        <v>8.439248002838195</v>
      </c>
      <c r="O128" s="51">
        <v>0.0003</v>
      </c>
      <c r="P128" s="49">
        <v>0.5</v>
      </c>
      <c r="Q128" s="31">
        <f t="shared" si="46"/>
        <v>1666.166666666667</v>
      </c>
      <c r="R128" s="49">
        <f>U128/V128</f>
        <v>8.439655187114708</v>
      </c>
      <c r="U128" s="31">
        <f>BETAINV(0.95,P128,Q128)</f>
        <v>0.0011522918939590454</v>
      </c>
      <c r="V128" s="31">
        <f>BETAINV(0.5,P128,Q128)</f>
        <v>0.00013653305359184742</v>
      </c>
      <c r="W128" s="31">
        <f t="shared" si="49"/>
        <v>0.0012627765536308289</v>
      </c>
      <c r="X128" s="31">
        <f t="shared" si="50"/>
        <v>0.00014963140711188316</v>
      </c>
      <c r="Y128" s="119">
        <v>39114</v>
      </c>
    </row>
    <row r="129" spans="1:25" ht="25.5" customHeight="1">
      <c r="A129" s="14" t="s">
        <v>719</v>
      </c>
      <c r="B129" s="14" t="s">
        <v>54</v>
      </c>
      <c r="C129" s="2" t="s">
        <v>52</v>
      </c>
      <c r="D129" s="49">
        <v>23.1</v>
      </c>
      <c r="E129" s="52">
        <v>57199</v>
      </c>
      <c r="F129" s="52" t="s">
        <v>562</v>
      </c>
      <c r="G129" s="52"/>
      <c r="H129" s="56">
        <f>D129/E129</f>
        <v>0.0004038532142170318</v>
      </c>
      <c r="I129" s="56">
        <f>(D129+0.5)/E129</f>
        <v>0.000412594625780171</v>
      </c>
      <c r="J129" s="3" t="s">
        <v>456</v>
      </c>
      <c r="K129" s="56">
        <f>I129</f>
        <v>0.000412594625780171</v>
      </c>
      <c r="L129" s="91">
        <v>0.5</v>
      </c>
      <c r="M129" s="111">
        <f>L129*(1-K129)/K129</f>
        <v>1211.343220338983</v>
      </c>
      <c r="N129" s="49">
        <f>W129/X129</f>
        <v>8.438061611092378</v>
      </c>
      <c r="O129" s="51">
        <v>0.0004</v>
      </c>
      <c r="P129" s="49">
        <v>0.5</v>
      </c>
      <c r="Q129" s="31">
        <f t="shared" si="46"/>
        <v>1249.5</v>
      </c>
      <c r="R129" s="49">
        <f>U129/V129</f>
        <v>8.438235640150799</v>
      </c>
      <c r="U129" s="31">
        <f>BETAINV(0.95,P129,Q129)</f>
        <v>0.0015363246202468872</v>
      </c>
      <c r="V129" s="31">
        <f>BETAINV(0.5,P129,Q129)</f>
        <v>0.00018206704407930374</v>
      </c>
      <c r="W129" s="31">
        <f t="shared" si="49"/>
        <v>0.0015846937894821167</v>
      </c>
      <c r="X129" s="31">
        <f t="shared" si="50"/>
        <v>0.00018780305981636047</v>
      </c>
      <c r="Y129" s="119">
        <v>39114</v>
      </c>
    </row>
    <row r="130" spans="1:25" ht="25.5" customHeight="1">
      <c r="A130" s="14" t="s">
        <v>480</v>
      </c>
      <c r="B130" s="14" t="s">
        <v>481</v>
      </c>
      <c r="C130" s="2" t="s">
        <v>52</v>
      </c>
      <c r="D130" s="52"/>
      <c r="E130" s="52"/>
      <c r="F130" s="52" t="s">
        <v>562</v>
      </c>
      <c r="G130" s="52"/>
      <c r="J130" s="3" t="s">
        <v>456</v>
      </c>
      <c r="K130" s="56">
        <f>K127+K128*K129</f>
        <v>1.554254418751287E-05</v>
      </c>
      <c r="L130" s="91">
        <v>0.5</v>
      </c>
      <c r="M130" s="111">
        <f>L130*(1-K130)/K130</f>
        <v>32169.265385110375</v>
      </c>
      <c r="N130" s="49">
        <f>W130/X130</f>
        <v>8.443731015237201</v>
      </c>
      <c r="O130" s="51">
        <v>1.5E-05</v>
      </c>
      <c r="P130" s="49">
        <v>0.5</v>
      </c>
      <c r="Q130" s="31">
        <f t="shared" si="46"/>
        <v>33332.833333333336</v>
      </c>
      <c r="R130" s="49">
        <f>U130/V130</f>
        <v>8.443710897017619</v>
      </c>
      <c r="S130" s="14" t="s">
        <v>482</v>
      </c>
      <c r="U130" s="31">
        <f>BETAINV(0.95,P130,Q130)</f>
        <v>5.7621393352746964E-05</v>
      </c>
      <c r="V130" s="31">
        <f>BETAINV(0.5,P130,Q130)</f>
        <v>6.824178854003549E-06</v>
      </c>
      <c r="W130" s="31">
        <f t="shared" si="49"/>
        <v>5.9705693274736404E-05</v>
      </c>
      <c r="X130" s="31">
        <f t="shared" si="50"/>
        <v>7.071008440107107E-06</v>
      </c>
      <c r="Y130" s="119">
        <v>39114</v>
      </c>
    </row>
    <row r="131" spans="1:25" ht="25.5" customHeight="1">
      <c r="A131" s="14" t="s">
        <v>27</v>
      </c>
      <c r="B131" s="14" t="s">
        <v>28</v>
      </c>
      <c r="C131" s="2" t="s">
        <v>29</v>
      </c>
      <c r="D131" s="52">
        <v>2</v>
      </c>
      <c r="E131" s="52">
        <v>750</v>
      </c>
      <c r="F131" s="52" t="s">
        <v>562</v>
      </c>
      <c r="G131" s="52">
        <v>225</v>
      </c>
      <c r="H131" s="31">
        <f t="shared" si="42"/>
        <v>0.0026666666666666666</v>
      </c>
      <c r="I131" s="31">
        <f>(D131+0.5)/(E131+1)</f>
        <v>0.003328894806924101</v>
      </c>
      <c r="J131" s="3" t="s">
        <v>456</v>
      </c>
      <c r="K131" s="56">
        <f>I131</f>
        <v>0.003328894806924101</v>
      </c>
      <c r="L131" s="91">
        <v>0.5</v>
      </c>
      <c r="M131" s="111">
        <f t="shared" si="45"/>
        <v>149.70000000000002</v>
      </c>
      <c r="N131" s="49">
        <f t="shared" si="43"/>
        <v>8.39627979434523</v>
      </c>
      <c r="O131" s="51">
        <v>0.003</v>
      </c>
      <c r="P131" s="49">
        <v>0.5</v>
      </c>
      <c r="Q131" s="31">
        <f t="shared" si="46"/>
        <v>166.16666666666666</v>
      </c>
      <c r="R131" s="49">
        <f t="shared" si="44"/>
        <v>8.401014772940476</v>
      </c>
      <c r="U131" s="31">
        <f t="shared" si="47"/>
        <v>0.011509716510772705</v>
      </c>
      <c r="V131" s="31">
        <f t="shared" si="48"/>
        <v>0.0013700388371944427</v>
      </c>
      <c r="W131" s="31">
        <f t="shared" si="49"/>
        <v>0.012769699096679688</v>
      </c>
      <c r="X131" s="31">
        <f t="shared" si="50"/>
        <v>0.0015208758413791656</v>
      </c>
      <c r="Y131" s="119">
        <v>39114</v>
      </c>
    </row>
    <row r="132" spans="1:25" ht="25.5" customHeight="1">
      <c r="A132" s="54" t="s">
        <v>47</v>
      </c>
      <c r="B132" s="54" t="s">
        <v>48</v>
      </c>
      <c r="C132" s="58" t="s">
        <v>343</v>
      </c>
      <c r="D132" s="60"/>
      <c r="E132" s="60"/>
      <c r="F132" s="60" t="s">
        <v>561</v>
      </c>
      <c r="G132" s="60"/>
      <c r="H132" s="56"/>
      <c r="I132" s="56">
        <v>3E-06</v>
      </c>
      <c r="J132" s="15" t="s">
        <v>464</v>
      </c>
      <c r="K132" s="56">
        <f>I132</f>
        <v>3E-06</v>
      </c>
      <c r="L132" s="92">
        <v>0.3</v>
      </c>
      <c r="M132" s="111">
        <f>L132/K132</f>
        <v>100000</v>
      </c>
      <c r="N132" s="49">
        <f t="shared" si="43"/>
        <v>18.765606572139184</v>
      </c>
      <c r="O132" s="59">
        <f>K132</f>
        <v>3E-06</v>
      </c>
      <c r="P132" s="57">
        <v>0.3</v>
      </c>
      <c r="Q132" s="56">
        <f>P132/O132</f>
        <v>100000</v>
      </c>
      <c r="R132" s="49">
        <f t="shared" si="44"/>
        <v>18.765606572139184</v>
      </c>
      <c r="S132" s="54"/>
      <c r="U132" s="31">
        <f>GAMMAINV(0.95,P132,1/Q132)</f>
        <v>1.3723501247077611E-05</v>
      </c>
      <c r="V132" s="31">
        <f>GAMMAINV(0.5,P132,1/Q132)</f>
        <v>7.313113591250785E-07</v>
      </c>
      <c r="W132" s="31">
        <f>GAMMAINV(0.95,L132,1/M132)</f>
        <v>1.3723501247077611E-05</v>
      </c>
      <c r="X132" s="31">
        <f>GAMMAINV(0.5,L132,1/M132)</f>
        <v>7.313113591250785E-07</v>
      </c>
      <c r="Y132" s="119">
        <v>39114</v>
      </c>
    </row>
    <row r="133" spans="1:25" ht="25.5" customHeight="1">
      <c r="A133" s="14" t="s">
        <v>409</v>
      </c>
      <c r="B133" s="14" t="s">
        <v>410</v>
      </c>
      <c r="C133" s="58" t="s">
        <v>336</v>
      </c>
      <c r="D133" s="52">
        <v>25</v>
      </c>
      <c r="E133" s="52">
        <v>31813</v>
      </c>
      <c r="F133" s="52" t="s">
        <v>562</v>
      </c>
      <c r="G133" s="52">
        <v>1510</v>
      </c>
      <c r="H133" s="56">
        <f>D133/E133</f>
        <v>0.0007858422657404206</v>
      </c>
      <c r="I133" s="31">
        <f>(D133+0.5)/(E133+1)</f>
        <v>0.0008015339158860879</v>
      </c>
      <c r="J133" s="3" t="s">
        <v>355</v>
      </c>
      <c r="K133" s="31">
        <v>0.000954</v>
      </c>
      <c r="L133" s="91">
        <v>0.471</v>
      </c>
      <c r="M133" s="111">
        <f>L133*(1-K133)/K133</f>
        <v>493.2396918238993</v>
      </c>
      <c r="N133" s="49">
        <f t="shared" si="43"/>
        <v>9.096675451227574</v>
      </c>
      <c r="O133" s="51">
        <v>0.001</v>
      </c>
      <c r="P133" s="49">
        <v>0.5</v>
      </c>
      <c r="Q133" s="31">
        <f>P133*(1-O133)/O133</f>
        <v>499.5</v>
      </c>
      <c r="R133" s="49">
        <f t="shared" si="44"/>
        <v>8.429649196697648</v>
      </c>
      <c r="U133" s="31">
        <f>BETAINV(0.95,P133,Q133)</f>
        <v>0.003839835524559021</v>
      </c>
      <c r="V133" s="31">
        <f>BETAINV(0.5,P133,Q133)</f>
        <v>0.00045551545917987823</v>
      </c>
      <c r="W133" s="31">
        <f>BETAINV(0.95,L133,M133)</f>
        <v>0.003741919994354248</v>
      </c>
      <c r="X133" s="31">
        <f>BETAINV(0.5,L133,M133)</f>
        <v>0.000411350280046463</v>
      </c>
      <c r="Y133" s="119">
        <v>39114</v>
      </c>
    </row>
    <row r="134" spans="1:25" ht="25.5" customHeight="1">
      <c r="A134" s="14" t="s">
        <v>49</v>
      </c>
      <c r="B134" s="14" t="s">
        <v>50</v>
      </c>
      <c r="C134" s="58" t="s">
        <v>336</v>
      </c>
      <c r="D134" s="52">
        <v>6</v>
      </c>
      <c r="E134" s="52">
        <f>G134*5*8760</f>
        <v>66138000</v>
      </c>
      <c r="F134" s="52" t="s">
        <v>561</v>
      </c>
      <c r="G134" s="52">
        <v>1510</v>
      </c>
      <c r="H134" s="56">
        <f>D134/E134</f>
        <v>9.071940488070398E-08</v>
      </c>
      <c r="I134" s="31">
        <f>(D134+0.5)/E134</f>
        <v>9.827935528742931E-08</v>
      </c>
      <c r="J134" s="3" t="s">
        <v>461</v>
      </c>
      <c r="K134" s="31">
        <v>9.23E-08</v>
      </c>
      <c r="L134" s="91">
        <v>0.3</v>
      </c>
      <c r="M134" s="111">
        <f>L134/K134</f>
        <v>3250270.855904659</v>
      </c>
      <c r="N134" s="49">
        <f t="shared" si="43"/>
        <v>18.765606572139177</v>
      </c>
      <c r="O134" s="51">
        <v>9E-08</v>
      </c>
      <c r="P134" s="49">
        <v>0.3</v>
      </c>
      <c r="Q134" s="31">
        <f>P134/O134</f>
        <v>3333333.3333333335</v>
      </c>
      <c r="R134" s="49">
        <f t="shared" si="44"/>
        <v>18.765606572139177</v>
      </c>
      <c r="U134" s="31">
        <f>GAMMAINV(0.95,P134,1/Q134)</f>
        <v>4.117050374123282E-07</v>
      </c>
      <c r="V134" s="31">
        <f>GAMMAINV(0.5,P134,1/Q134)</f>
        <v>2.1939340773752353E-08</v>
      </c>
      <c r="W134" s="31">
        <f>GAMMAINV(0.95,L134,1/M134)</f>
        <v>4.2222638836842107E-07</v>
      </c>
      <c r="X134" s="31">
        <f>GAMMAINV(0.5,L134,1/M134)</f>
        <v>2.250001281574825E-08</v>
      </c>
      <c r="Y134" s="119">
        <v>39114</v>
      </c>
    </row>
    <row r="135" spans="1:25" ht="25.5" customHeight="1">
      <c r="A135" s="14" t="s">
        <v>149</v>
      </c>
      <c r="B135" s="14" t="s">
        <v>150</v>
      </c>
      <c r="C135" s="58" t="s">
        <v>336</v>
      </c>
      <c r="D135" s="49">
        <v>0.5</v>
      </c>
      <c r="E135" s="52">
        <f>G135*8*8760</f>
        <v>107152320</v>
      </c>
      <c r="F135" s="52" t="s">
        <v>561</v>
      </c>
      <c r="G135" s="52">
        <v>1529</v>
      </c>
      <c r="H135" s="56">
        <f>D135/E135</f>
        <v>4.6662545430654235E-09</v>
      </c>
      <c r="I135" s="31">
        <f>(D135+0.5)/E135</f>
        <v>9.332509086130847E-09</v>
      </c>
      <c r="J135" s="3" t="s">
        <v>463</v>
      </c>
      <c r="K135" s="31">
        <f>I135</f>
        <v>9.332509086130847E-09</v>
      </c>
      <c r="L135" s="91">
        <v>0.5</v>
      </c>
      <c r="M135" s="111">
        <f>L135/K135</f>
        <v>53576159.99999999</v>
      </c>
      <c r="N135" s="49">
        <f>W135/X135</f>
        <v>8.443947193457866</v>
      </c>
      <c r="O135" s="51">
        <v>9E-09</v>
      </c>
      <c r="P135" s="49">
        <v>0.5</v>
      </c>
      <c r="Q135" s="31">
        <f>P135/O135</f>
        <v>55555555.55555556</v>
      </c>
      <c r="R135" s="49">
        <f>U135/V135</f>
        <v>8.443947193457866</v>
      </c>
      <c r="S135" s="14" t="s">
        <v>30</v>
      </c>
      <c r="U135" s="31">
        <f>GAMMAINV(0.95,P135,1/Q135)</f>
        <v>3.4573132345407784E-08</v>
      </c>
      <c r="V135" s="31">
        <f>GAMMAINV(0.5,P135,1/Q135)</f>
        <v>4.0944278254361984E-09</v>
      </c>
      <c r="W135" s="31">
        <f>GAMMAINV(0.95,L135,1/M135)</f>
        <v>3.58504524166136E-08</v>
      </c>
      <c r="X135" s="31">
        <f>GAMMAINV(0.5,L135,1/M135)</f>
        <v>4.245698320376698E-09</v>
      </c>
      <c r="Y135" s="119">
        <v>39114</v>
      </c>
    </row>
    <row r="136" spans="1:25" ht="25.5" customHeight="1">
      <c r="A136" s="14" t="s">
        <v>151</v>
      </c>
      <c r="B136" s="14" t="s">
        <v>152</v>
      </c>
      <c r="C136" s="15" t="s">
        <v>336</v>
      </c>
      <c r="D136" s="52"/>
      <c r="E136" s="52"/>
      <c r="F136" s="52" t="s">
        <v>561</v>
      </c>
      <c r="G136" s="52"/>
      <c r="H136" s="56"/>
      <c r="J136" s="3" t="s">
        <v>521</v>
      </c>
      <c r="K136" s="31">
        <f>K135*0.07</f>
        <v>6.532756360291593E-10</v>
      </c>
      <c r="L136" s="91">
        <v>0.3</v>
      </c>
      <c r="M136" s="111">
        <f>L136/K136</f>
        <v>459224228.5714285</v>
      </c>
      <c r="N136" s="49">
        <f>W136/X136</f>
        <v>18.765606572139177</v>
      </c>
      <c r="O136" s="51">
        <v>7E-10</v>
      </c>
      <c r="P136" s="49">
        <v>0.3</v>
      </c>
      <c r="Q136" s="31">
        <f>P136/O136</f>
        <v>428571428.5714286</v>
      </c>
      <c r="R136" s="49">
        <f>U136/V136</f>
        <v>18.765606572139177</v>
      </c>
      <c r="S136" s="14" t="s">
        <v>522</v>
      </c>
      <c r="U136" s="31">
        <f>GAMMAINV(0.95,P136,1/Q136)</f>
        <v>3.2021502909847746E-09</v>
      </c>
      <c r="V136" s="31">
        <f>GAMMAINV(0.5,P136,1/Q136)</f>
        <v>1.7063931712918496E-10</v>
      </c>
      <c r="W136" s="31">
        <f>GAMMAINV(0.95,L136,1/M136)</f>
        <v>2.988409668577196E-09</v>
      </c>
      <c r="X136" s="31">
        <f>GAMMAINV(0.5,L136,1/M136)</f>
        <v>1.5924929775592825E-10</v>
      </c>
      <c r="Y136" s="119">
        <v>39114</v>
      </c>
    </row>
    <row r="137" spans="1:25" ht="25.5" customHeight="1">
      <c r="A137" s="14" t="s">
        <v>153</v>
      </c>
      <c r="B137" s="14" t="s">
        <v>154</v>
      </c>
      <c r="C137" s="58" t="s">
        <v>336</v>
      </c>
      <c r="D137" s="52">
        <v>26</v>
      </c>
      <c r="E137" s="52">
        <f>G137*8*8760</f>
        <v>107152320</v>
      </c>
      <c r="F137" s="52" t="s">
        <v>561</v>
      </c>
      <c r="G137" s="52">
        <v>1529</v>
      </c>
      <c r="H137" s="56">
        <f>D137/E137</f>
        <v>2.42645236239402E-07</v>
      </c>
      <c r="I137" s="31">
        <f>(D137+0.5)/E137</f>
        <v>2.4731149078246745E-07</v>
      </c>
      <c r="J137" s="3" t="s">
        <v>348</v>
      </c>
      <c r="K137" s="31">
        <v>2.78E-07</v>
      </c>
      <c r="L137" s="91">
        <v>0.357</v>
      </c>
      <c r="M137" s="111">
        <f>L137/K137</f>
        <v>1284172.6618705036</v>
      </c>
      <c r="N137" s="49">
        <f>W137/X137</f>
        <v>13.711712759070188</v>
      </c>
      <c r="O137" s="51">
        <v>3E-07</v>
      </c>
      <c r="P137" s="49">
        <v>0.4</v>
      </c>
      <c r="Q137" s="31">
        <f>P137/O137</f>
        <v>1333333.3333333335</v>
      </c>
      <c r="R137" s="49">
        <f>U137/V137</f>
        <v>11.455634242955387</v>
      </c>
      <c r="S137" s="14" t="s">
        <v>30</v>
      </c>
      <c r="U137" s="31">
        <f>GAMMAINV(0.95,P137,1/Q137)</f>
        <v>1.2464716127853166E-06</v>
      </c>
      <c r="V137" s="31">
        <f>GAMMAINV(0.5,P137,1/Q137)</f>
        <v>1.0880860774267746E-07</v>
      </c>
      <c r="W137" s="31">
        <f>GAMMAINV(0.95,L137,1/M137)</f>
        <v>1.200837215641766E-06</v>
      </c>
      <c r="X137" s="31">
        <f>GAMMAINV(0.5,L137,1/M137)</f>
        <v>8.7577477499842E-08</v>
      </c>
      <c r="Y137" s="119">
        <v>39114</v>
      </c>
    </row>
    <row r="138" spans="1:25" ht="25.5" customHeight="1">
      <c r="A138" s="14" t="s">
        <v>155</v>
      </c>
      <c r="B138" s="14" t="s">
        <v>156</v>
      </c>
      <c r="C138" s="15" t="s">
        <v>336</v>
      </c>
      <c r="D138" s="52"/>
      <c r="E138" s="52"/>
      <c r="F138" s="52" t="s">
        <v>561</v>
      </c>
      <c r="G138" s="52"/>
      <c r="H138" s="56"/>
      <c r="J138" s="3" t="s">
        <v>470</v>
      </c>
      <c r="K138" s="31">
        <f>K137*0.02</f>
        <v>5.56E-09</v>
      </c>
      <c r="L138" s="91">
        <v>0.3</v>
      </c>
      <c r="M138" s="111">
        <f>L138/K138</f>
        <v>53956834.5323741</v>
      </c>
      <c r="N138" s="49">
        <f>W138/X138</f>
        <v>18.765606572139177</v>
      </c>
      <c r="O138" s="51">
        <v>6E-09</v>
      </c>
      <c r="P138" s="49">
        <v>0.3</v>
      </c>
      <c r="Q138" s="31">
        <f>P138/O138</f>
        <v>50000000</v>
      </c>
      <c r="R138" s="49">
        <f>U138/V138</f>
        <v>18.765606572139173</v>
      </c>
      <c r="S138" s="14" t="s">
        <v>465</v>
      </c>
      <c r="U138" s="31">
        <f>GAMMAINV(0.95,P138,1/Q138)</f>
        <v>2.744700249415521E-08</v>
      </c>
      <c r="V138" s="31">
        <f>GAMMAINV(0.5,P138,1/Q138)</f>
        <v>1.462622718250157E-09</v>
      </c>
      <c r="W138" s="31">
        <f>GAMMAINV(0.95,L138,1/M138)</f>
        <v>2.54342223112505E-08</v>
      </c>
      <c r="X138" s="31">
        <f>GAMMAINV(0.5,L138,1/M138)</f>
        <v>1.3553637189118123E-09</v>
      </c>
      <c r="Y138" s="119">
        <v>39114</v>
      </c>
    </row>
    <row r="139" spans="1:25" ht="25.5" customHeight="1">
      <c r="A139" s="54" t="s">
        <v>483</v>
      </c>
      <c r="B139" s="54" t="s">
        <v>485</v>
      </c>
      <c r="C139" s="58" t="s">
        <v>336</v>
      </c>
      <c r="D139" s="60">
        <v>2</v>
      </c>
      <c r="E139" s="60">
        <v>3142</v>
      </c>
      <c r="F139" s="60" t="s">
        <v>562</v>
      </c>
      <c r="G139" s="60">
        <v>386</v>
      </c>
      <c r="H139" s="56">
        <f>D139/E139</f>
        <v>0.0006365372374283895</v>
      </c>
      <c r="I139" s="31">
        <f>(D139+0.5)/(E139+1)</f>
        <v>0.0007954183900731785</v>
      </c>
      <c r="J139" s="3" t="s">
        <v>456</v>
      </c>
      <c r="K139" s="56">
        <f>I139</f>
        <v>0.0007954183900731785</v>
      </c>
      <c r="L139" s="92">
        <v>0.5</v>
      </c>
      <c r="M139" s="111">
        <f aca="true" t="shared" si="51" ref="M139:M147">L139*(1-K139)/K139</f>
        <v>628.1</v>
      </c>
      <c r="N139" s="49">
        <f aca="true" t="shared" si="52" ref="N139:N150">W139/X139</f>
        <v>8.432577524213059</v>
      </c>
      <c r="O139" s="59">
        <v>0.0008</v>
      </c>
      <c r="P139" s="57">
        <v>0.5</v>
      </c>
      <c r="Q139" s="31">
        <f>P139*(1-O139)/O139</f>
        <v>624.5</v>
      </c>
      <c r="R139" s="49">
        <f aca="true" t="shared" si="53" ref="R139:R150">U139/V139</f>
        <v>8.432489915283266</v>
      </c>
      <c r="S139" s="54"/>
      <c r="U139" s="31">
        <f aca="true" t="shared" si="54" ref="U139:U147">BETAINV(0.95,P139,Q139)</f>
        <v>0.0030721276998519897</v>
      </c>
      <c r="V139" s="31">
        <f aca="true" t="shared" si="55" ref="V139:V147">BETAINV(0.5,P139,Q139)</f>
        <v>0.0003643203526735306</v>
      </c>
      <c r="W139" s="31">
        <f>BETAINV(0.95,L139,M139)</f>
        <v>0.0030545443296432495</v>
      </c>
      <c r="X139" s="31">
        <f>BETAINV(0.5,L139,M139)</f>
        <v>0.00036223139613866806</v>
      </c>
      <c r="Y139" s="119">
        <v>39114</v>
      </c>
    </row>
    <row r="140" spans="1:25" ht="25.5" customHeight="1">
      <c r="A140" s="14" t="s">
        <v>484</v>
      </c>
      <c r="B140" s="14" t="s">
        <v>486</v>
      </c>
      <c r="C140" s="58" t="s">
        <v>336</v>
      </c>
      <c r="D140" s="52">
        <v>10</v>
      </c>
      <c r="E140" s="52">
        <v>3142</v>
      </c>
      <c r="F140" s="52" t="s">
        <v>562</v>
      </c>
      <c r="G140" s="52">
        <v>386</v>
      </c>
      <c r="H140" s="56">
        <f>D140/E140</f>
        <v>0.003182686187141948</v>
      </c>
      <c r="I140" s="31">
        <f>(D140+0.5)/(E140+1)</f>
        <v>0.0033407572383073497</v>
      </c>
      <c r="J140" s="3" t="s">
        <v>462</v>
      </c>
      <c r="K140" s="31">
        <v>0.00771</v>
      </c>
      <c r="L140" s="91">
        <v>0.3</v>
      </c>
      <c r="M140" s="111">
        <f t="shared" si="51"/>
        <v>38.610505836575875</v>
      </c>
      <c r="N140" s="49">
        <f t="shared" si="52"/>
        <v>18.450205234654224</v>
      </c>
      <c r="O140" s="51">
        <v>0.008</v>
      </c>
      <c r="P140" s="49">
        <v>0.3</v>
      </c>
      <c r="Q140" s="31">
        <f>P140*(1-O140)/O140</f>
        <v>37.199999999999996</v>
      </c>
      <c r="R140" s="49">
        <f t="shared" si="53"/>
        <v>18.43825443831457</v>
      </c>
      <c r="U140" s="31">
        <f t="shared" si="54"/>
        <v>0.036554574966430664</v>
      </c>
      <c r="V140" s="31">
        <f t="shared" si="55"/>
        <v>0.0019825398921966553</v>
      </c>
      <c r="W140" s="31">
        <f>BETAINV(0.95,L140,M140)</f>
        <v>0.03523111343383789</v>
      </c>
      <c r="X140" s="31">
        <f>BETAINV(0.5,L140,M140)</f>
        <v>0.0019095242023468018</v>
      </c>
      <c r="Y140" s="119">
        <v>39114</v>
      </c>
    </row>
    <row r="141" spans="1:25" ht="25.5" customHeight="1">
      <c r="A141" s="14" t="s">
        <v>490</v>
      </c>
      <c r="B141" s="14" t="s">
        <v>487</v>
      </c>
      <c r="C141" s="58" t="s">
        <v>336</v>
      </c>
      <c r="D141" s="52">
        <v>9</v>
      </c>
      <c r="E141" s="52">
        <f>G141*5*8760</f>
        <v>16906800</v>
      </c>
      <c r="F141" s="52" t="s">
        <v>561</v>
      </c>
      <c r="G141" s="52">
        <v>386</v>
      </c>
      <c r="H141" s="56">
        <f>D141/E141</f>
        <v>5.323301866704521E-07</v>
      </c>
      <c r="I141" s="31">
        <f>(D141+0.5)/E141</f>
        <v>5.619040859299217E-07</v>
      </c>
      <c r="J141" s="3" t="s">
        <v>461</v>
      </c>
      <c r="K141" s="31">
        <v>5.08E-07</v>
      </c>
      <c r="L141" s="91">
        <v>0.3</v>
      </c>
      <c r="M141" s="111">
        <f t="shared" si="51"/>
        <v>590550.8811023621</v>
      </c>
      <c r="N141" s="49">
        <f t="shared" si="52"/>
        <v>18.765606572139173</v>
      </c>
      <c r="O141" s="51">
        <v>5E-07</v>
      </c>
      <c r="P141" s="49">
        <v>0.3</v>
      </c>
      <c r="Q141" s="31">
        <f>P141*(1-O141)/O141</f>
        <v>599999.7000000001</v>
      </c>
      <c r="R141" s="49">
        <f t="shared" si="53"/>
        <v>18.765611183864433</v>
      </c>
      <c r="U141" s="31">
        <f t="shared" si="54"/>
        <v>2.2872554836794734E-06</v>
      </c>
      <c r="V141" s="31">
        <f t="shared" si="55"/>
        <v>1.218854777107481E-07</v>
      </c>
      <c r="W141" s="31">
        <f>GAMMAINV(0.95,L141,1/M141)</f>
        <v>2.323847391686283E-06</v>
      </c>
      <c r="X141" s="31">
        <f>GAMMAINV(0.5,L141,1/M141)</f>
        <v>1.2383545305359013E-07</v>
      </c>
      <c r="Y141" s="119">
        <v>39114</v>
      </c>
    </row>
    <row r="142" spans="1:25" ht="25.5" customHeight="1">
      <c r="A142" s="54" t="s">
        <v>411</v>
      </c>
      <c r="B142" s="54" t="s">
        <v>412</v>
      </c>
      <c r="C142" s="58" t="s">
        <v>343</v>
      </c>
      <c r="D142" s="60"/>
      <c r="E142" s="60"/>
      <c r="F142" s="60" t="s">
        <v>562</v>
      </c>
      <c r="G142" s="60"/>
      <c r="H142" s="56"/>
      <c r="I142" s="56">
        <v>0.1</v>
      </c>
      <c r="J142" s="15" t="s">
        <v>489</v>
      </c>
      <c r="K142" s="56">
        <f>I142</f>
        <v>0.1</v>
      </c>
      <c r="L142" s="92">
        <v>0.5</v>
      </c>
      <c r="M142" s="111">
        <f t="shared" si="51"/>
        <v>4.5</v>
      </c>
      <c r="N142" s="49">
        <f t="shared" si="52"/>
        <v>6.968929551189349</v>
      </c>
      <c r="O142" s="59">
        <f>K142</f>
        <v>0.1</v>
      </c>
      <c r="P142" s="57">
        <v>0.5</v>
      </c>
      <c r="Q142" s="31">
        <f>P142*(1-O142)/O142</f>
        <v>4.5</v>
      </c>
      <c r="R142" s="49">
        <f t="shared" si="53"/>
        <v>6.968929551189349</v>
      </c>
      <c r="S142" s="54" t="s">
        <v>488</v>
      </c>
      <c r="U142" s="31">
        <f t="shared" si="54"/>
        <v>0.3624868392944336</v>
      </c>
      <c r="V142" s="31">
        <f t="shared" si="55"/>
        <v>0.052014708518981934</v>
      </c>
      <c r="W142" s="31">
        <f>BETAINV(0.95,L142,M142)</f>
        <v>0.3624868392944336</v>
      </c>
      <c r="X142" s="31">
        <f>BETAINV(0.5,L142,M142)</f>
        <v>0.052014708518981934</v>
      </c>
      <c r="Y142" s="119">
        <v>39114</v>
      </c>
    </row>
    <row r="143" spans="1:25" ht="51" customHeight="1">
      <c r="A143" s="14" t="s">
        <v>89</v>
      </c>
      <c r="B143" s="14" t="s">
        <v>90</v>
      </c>
      <c r="C143" s="2" t="s">
        <v>52</v>
      </c>
      <c r="D143" s="52"/>
      <c r="E143" s="52"/>
      <c r="F143" s="52" t="s">
        <v>562</v>
      </c>
      <c r="G143" s="52"/>
      <c r="H143" s="56"/>
      <c r="J143" s="3" t="s">
        <v>491</v>
      </c>
      <c r="K143" s="31">
        <f aca="true" t="shared" si="56" ref="K143:R144">K145</f>
        <v>0.00081469411938972</v>
      </c>
      <c r="L143" s="91">
        <f t="shared" si="56"/>
        <v>0.5</v>
      </c>
      <c r="M143" s="111">
        <f t="shared" si="56"/>
        <v>613.2272727272727</v>
      </c>
      <c r="N143" s="49">
        <f t="shared" si="56"/>
        <v>8.443947193457866</v>
      </c>
      <c r="O143" s="51">
        <f t="shared" si="56"/>
        <v>0.0008</v>
      </c>
      <c r="P143" s="49">
        <f t="shared" si="56"/>
        <v>0.5</v>
      </c>
      <c r="Q143" s="31">
        <f t="shared" si="56"/>
        <v>624.5</v>
      </c>
      <c r="R143" s="49">
        <f t="shared" si="56"/>
        <v>8.432489915283266</v>
      </c>
      <c r="S143" s="132" t="s">
        <v>31</v>
      </c>
      <c r="U143" s="31"/>
      <c r="V143" s="31"/>
      <c r="W143" s="31"/>
      <c r="X143" s="31"/>
      <c r="Y143" s="119">
        <v>39114</v>
      </c>
    </row>
    <row r="144" spans="1:25" ht="51" customHeight="1">
      <c r="A144" s="14"/>
      <c r="B144" s="14" t="s">
        <v>90</v>
      </c>
      <c r="C144" s="2" t="s">
        <v>52</v>
      </c>
      <c r="D144" s="52"/>
      <c r="E144" s="52"/>
      <c r="F144" s="52" t="s">
        <v>561</v>
      </c>
      <c r="G144" s="52"/>
      <c r="H144" s="56"/>
      <c r="J144" s="15" t="s">
        <v>492</v>
      </c>
      <c r="K144" s="31">
        <f t="shared" si="56"/>
        <v>1.0170903729548346E-07</v>
      </c>
      <c r="L144" s="91">
        <f t="shared" si="56"/>
        <v>0.5</v>
      </c>
      <c r="M144" s="111">
        <f t="shared" si="56"/>
        <v>4915984</v>
      </c>
      <c r="N144" s="49">
        <f t="shared" si="56"/>
        <v>8.443947193457863</v>
      </c>
      <c r="O144" s="51">
        <f t="shared" si="56"/>
        <v>1E-07</v>
      </c>
      <c r="P144" s="49">
        <f t="shared" si="56"/>
        <v>0.5</v>
      </c>
      <c r="Q144" s="31">
        <f t="shared" si="56"/>
        <v>5000000</v>
      </c>
      <c r="R144" s="49">
        <f t="shared" si="56"/>
        <v>8.443947193457864</v>
      </c>
      <c r="S144" s="133"/>
      <c r="U144" s="31"/>
      <c r="V144" s="31"/>
      <c r="W144" s="31"/>
      <c r="X144" s="31"/>
      <c r="Y144" s="119">
        <v>39114</v>
      </c>
    </row>
    <row r="145" spans="1:25" ht="51" customHeight="1">
      <c r="A145" s="14" t="s">
        <v>66</v>
      </c>
      <c r="B145" s="14" t="s">
        <v>67</v>
      </c>
      <c r="C145" s="2" t="s">
        <v>52</v>
      </c>
      <c r="D145" s="49">
        <v>5</v>
      </c>
      <c r="E145" s="52">
        <v>6750</v>
      </c>
      <c r="F145" s="52" t="s">
        <v>562</v>
      </c>
      <c r="G145" s="52"/>
      <c r="H145" s="31">
        <f aca="true" t="shared" si="57" ref="H145:H150">D145/E145</f>
        <v>0.0007407407407407407</v>
      </c>
      <c r="I145" s="31">
        <f>(D145+0.5)/(E145+1)</f>
        <v>0.00081469411938972</v>
      </c>
      <c r="J145" s="3" t="s">
        <v>456</v>
      </c>
      <c r="K145" s="56">
        <f aca="true" t="shared" si="58" ref="K145:K150">I145</f>
        <v>0.00081469411938972</v>
      </c>
      <c r="L145" s="91">
        <v>0.5</v>
      </c>
      <c r="M145" s="111">
        <f>L145*(1-K145)/K145</f>
        <v>613.2272727272727</v>
      </c>
      <c r="N145" s="49">
        <f>W145/X145</f>
        <v>8.443947193457866</v>
      </c>
      <c r="O145" s="51">
        <v>0.0008</v>
      </c>
      <c r="P145" s="49">
        <v>0.5</v>
      </c>
      <c r="Q145" s="31">
        <f>P145*(1-O145)/O145</f>
        <v>624.5</v>
      </c>
      <c r="R145" s="49">
        <f>U145/V145</f>
        <v>8.432489915283266</v>
      </c>
      <c r="S145" s="132" t="s">
        <v>63</v>
      </c>
      <c r="U145" s="31">
        <f>BETAINV(0.95,P145,Q145)</f>
        <v>0.0030721276998519897</v>
      </c>
      <c r="V145" s="31">
        <f>BETAINV(0.5,P145,Q145)</f>
        <v>0.0003643203526735306</v>
      </c>
      <c r="W145" s="31">
        <f aca="true" t="shared" si="59" ref="W145:W151">GAMMAINV(0.95,L145,1/M145)</f>
        <v>0.0031321659361342588</v>
      </c>
      <c r="X145" s="31">
        <f aca="true" t="shared" si="60" ref="X145:X151">GAMMAINV(0.5,L145,1/M145)</f>
        <v>0.0003709362297482122</v>
      </c>
      <c r="Y145" s="119">
        <v>39114</v>
      </c>
    </row>
    <row r="146" spans="1:25" ht="51" customHeight="1">
      <c r="A146" s="14"/>
      <c r="B146" s="14" t="s">
        <v>67</v>
      </c>
      <c r="C146" s="2" t="s">
        <v>52</v>
      </c>
      <c r="D146" s="49">
        <v>0.5</v>
      </c>
      <c r="E146" s="52">
        <v>9831968</v>
      </c>
      <c r="F146" s="52" t="s">
        <v>561</v>
      </c>
      <c r="G146" s="52"/>
      <c r="H146" s="31">
        <f t="shared" si="57"/>
        <v>5.085451864774173E-08</v>
      </c>
      <c r="I146" s="31">
        <f>(D146+0.5)/E146</f>
        <v>1.0170903729548346E-07</v>
      </c>
      <c r="J146" s="3" t="s">
        <v>463</v>
      </c>
      <c r="K146" s="31">
        <f t="shared" si="58"/>
        <v>1.0170903729548346E-07</v>
      </c>
      <c r="L146" s="92">
        <v>0.5</v>
      </c>
      <c r="M146" s="111">
        <f>L146/K146</f>
        <v>4915984</v>
      </c>
      <c r="N146" s="49">
        <f>W146/X146</f>
        <v>8.443947193457863</v>
      </c>
      <c r="O146" s="59">
        <v>1E-07</v>
      </c>
      <c r="P146" s="57">
        <v>0.5</v>
      </c>
      <c r="Q146" s="56">
        <f>P146/O146</f>
        <v>5000000</v>
      </c>
      <c r="R146" s="49">
        <f>U146/V146</f>
        <v>8.443947193457864</v>
      </c>
      <c r="S146" s="133"/>
      <c r="U146" s="31">
        <f>GAMMAINV(0.95,P146,1/Q146)</f>
        <v>3.841459149489752E-07</v>
      </c>
      <c r="V146" s="31">
        <f>GAMMAINV(0.5,P146,1/Q146)</f>
        <v>4.549364250484664E-08</v>
      </c>
      <c r="W146" s="31">
        <f t="shared" si="59"/>
        <v>3.9071111190452943E-07</v>
      </c>
      <c r="X146" s="31">
        <f t="shared" si="60"/>
        <v>4.62711458223284E-08</v>
      </c>
      <c r="Y146" s="119">
        <v>39114</v>
      </c>
    </row>
    <row r="147" spans="1:25" ht="51" customHeight="1">
      <c r="A147" s="14" t="s">
        <v>62</v>
      </c>
      <c r="B147" s="14" t="s">
        <v>61</v>
      </c>
      <c r="C147" s="2" t="s">
        <v>52</v>
      </c>
      <c r="D147" s="49">
        <v>2.3</v>
      </c>
      <c r="E147" s="52">
        <v>23960</v>
      </c>
      <c r="F147" s="52" t="s">
        <v>562</v>
      </c>
      <c r="G147" s="52"/>
      <c r="H147" s="31">
        <f t="shared" si="57"/>
        <v>9.599332220367279E-05</v>
      </c>
      <c r="I147" s="31">
        <f>(D147+0.5)/(E147+1)</f>
        <v>0.00011685655857434998</v>
      </c>
      <c r="J147" s="3" t="s">
        <v>456</v>
      </c>
      <c r="K147" s="56">
        <f t="shared" si="58"/>
        <v>0.00011685655857434998</v>
      </c>
      <c r="L147" s="91">
        <v>0.5</v>
      </c>
      <c r="M147" s="111">
        <f t="shared" si="51"/>
        <v>4278.250000000001</v>
      </c>
      <c r="N147" s="49">
        <f t="shared" si="52"/>
        <v>8.443947193457866</v>
      </c>
      <c r="O147" s="51">
        <v>0.00012</v>
      </c>
      <c r="P147" s="49">
        <v>0.5</v>
      </c>
      <c r="Q147" s="31">
        <f>P147*(1-O147)/O147</f>
        <v>4166.166666666667</v>
      </c>
      <c r="R147" s="49">
        <f t="shared" si="53"/>
        <v>8.442253569174612</v>
      </c>
      <c r="S147" s="132" t="s">
        <v>63</v>
      </c>
      <c r="U147" s="31">
        <f t="shared" si="54"/>
        <v>0.0004609525203704834</v>
      </c>
      <c r="V147" s="31">
        <f t="shared" si="55"/>
        <v>5.460064858198166E-05</v>
      </c>
      <c r="W147" s="31">
        <f t="shared" si="59"/>
        <v>0.000448952159117601</v>
      </c>
      <c r="X147" s="31">
        <f t="shared" si="60"/>
        <v>5.316851809133015E-05</v>
      </c>
      <c r="Y147" s="119">
        <v>39114</v>
      </c>
    </row>
    <row r="148" spans="1:25" ht="51" customHeight="1">
      <c r="A148" s="14"/>
      <c r="B148" s="14" t="s">
        <v>61</v>
      </c>
      <c r="C148" s="2" t="s">
        <v>52</v>
      </c>
      <c r="D148" s="49">
        <v>35.2</v>
      </c>
      <c r="E148" s="52">
        <v>43430451</v>
      </c>
      <c r="F148" s="52" t="s">
        <v>561</v>
      </c>
      <c r="G148" s="52"/>
      <c r="H148" s="31">
        <f t="shared" si="57"/>
        <v>8.104912380486218E-07</v>
      </c>
      <c r="I148" s="31">
        <f>(D148+0.5)/E148</f>
        <v>8.220038976799942E-07</v>
      </c>
      <c r="J148" s="3" t="s">
        <v>463</v>
      </c>
      <c r="K148" s="31">
        <f t="shared" si="58"/>
        <v>8.220038976799942E-07</v>
      </c>
      <c r="L148" s="92">
        <v>0.5</v>
      </c>
      <c r="M148" s="111">
        <f>L148/K148</f>
        <v>608269.6218487395</v>
      </c>
      <c r="N148" s="49">
        <f t="shared" si="52"/>
        <v>8.443947193457864</v>
      </c>
      <c r="O148" s="59">
        <v>8E-07</v>
      </c>
      <c r="P148" s="57">
        <v>0.5</v>
      </c>
      <c r="Q148" s="56">
        <f>P148/O148</f>
        <v>625000</v>
      </c>
      <c r="R148" s="49">
        <f t="shared" si="53"/>
        <v>8.443947193457864</v>
      </c>
      <c r="S148" s="133"/>
      <c r="U148" s="31">
        <f>GAMMAINV(0.95,P148,1/Q148)</f>
        <v>3.073167319591802E-06</v>
      </c>
      <c r="V148" s="31">
        <f>GAMMAINV(0.5,P148,1/Q148)</f>
        <v>3.639491400387731E-07</v>
      </c>
      <c r="W148" s="31">
        <f t="shared" si="59"/>
        <v>3.1576943936590524E-06</v>
      </c>
      <c r="X148" s="31">
        <f t="shared" si="60"/>
        <v>3.73959514586442E-07</v>
      </c>
      <c r="Y148" s="119">
        <v>39114</v>
      </c>
    </row>
    <row r="149" spans="1:25" ht="51" customHeight="1">
      <c r="A149" s="14" t="s">
        <v>64</v>
      </c>
      <c r="B149" s="14" t="s">
        <v>65</v>
      </c>
      <c r="C149" s="2" t="s">
        <v>52</v>
      </c>
      <c r="D149" s="49">
        <v>17.1</v>
      </c>
      <c r="E149" s="52">
        <v>40759</v>
      </c>
      <c r="F149" s="52" t="s">
        <v>562</v>
      </c>
      <c r="G149" s="52"/>
      <c r="H149" s="31">
        <f t="shared" si="57"/>
        <v>0.0004195392428666062</v>
      </c>
      <c r="I149" s="31">
        <f>(D149+0.5)/(E149+1)</f>
        <v>0.0004317958783120707</v>
      </c>
      <c r="J149" s="3" t="s">
        <v>456</v>
      </c>
      <c r="K149" s="56">
        <f t="shared" si="58"/>
        <v>0.0004317958783120707</v>
      </c>
      <c r="L149" s="91">
        <v>0.5</v>
      </c>
      <c r="M149" s="111">
        <f>L149*(1-K149)/K149</f>
        <v>1157.4545454545453</v>
      </c>
      <c r="N149" s="49">
        <f t="shared" si="52"/>
        <v>8.443947193457866</v>
      </c>
      <c r="O149" s="51">
        <v>0.0004</v>
      </c>
      <c r="P149" s="49">
        <v>0.5</v>
      </c>
      <c r="Q149" s="31">
        <f>P149*(1-O149)/O149</f>
        <v>1249.5</v>
      </c>
      <c r="R149" s="49">
        <f t="shared" si="53"/>
        <v>8.438235640150799</v>
      </c>
      <c r="S149" s="132" t="s">
        <v>63</v>
      </c>
      <c r="U149" s="31">
        <f>BETAINV(0.95,P149,Q149)</f>
        <v>0.0015363246202468872</v>
      </c>
      <c r="V149" s="31">
        <f>BETAINV(0.5,P149,Q149)</f>
        <v>0.00018206704407930374</v>
      </c>
      <c r="W149" s="31">
        <f t="shared" si="59"/>
        <v>0.0016594427680013861</v>
      </c>
      <c r="X149" s="31">
        <f t="shared" si="60"/>
        <v>0.0001965245317127369</v>
      </c>
      <c r="Y149" s="119">
        <v>39114</v>
      </c>
    </row>
    <row r="150" spans="1:25" ht="51" customHeight="1">
      <c r="A150" s="14"/>
      <c r="B150" s="14" t="s">
        <v>65</v>
      </c>
      <c r="C150" s="2" t="s">
        <v>52</v>
      </c>
      <c r="D150" s="49">
        <v>29</v>
      </c>
      <c r="E150" s="52">
        <v>35107399</v>
      </c>
      <c r="F150" s="52" t="s">
        <v>561</v>
      </c>
      <c r="G150" s="52"/>
      <c r="H150" s="31">
        <f t="shared" si="57"/>
        <v>8.260366995572643E-07</v>
      </c>
      <c r="I150" s="31">
        <f>(D150+0.5)/E150</f>
        <v>8.402787116185964E-07</v>
      </c>
      <c r="J150" s="3" t="s">
        <v>463</v>
      </c>
      <c r="K150" s="31">
        <f t="shared" si="58"/>
        <v>8.402787116185964E-07</v>
      </c>
      <c r="L150" s="92">
        <v>0.5</v>
      </c>
      <c r="M150" s="111">
        <f>L150/K150</f>
        <v>595040.6610169491</v>
      </c>
      <c r="N150" s="49">
        <f t="shared" si="52"/>
        <v>8.443947193457868</v>
      </c>
      <c r="O150" s="59">
        <v>8E-07</v>
      </c>
      <c r="P150" s="57">
        <v>0.5</v>
      </c>
      <c r="Q150" s="56">
        <f>P150/O150</f>
        <v>625000</v>
      </c>
      <c r="R150" s="49">
        <f t="shared" si="53"/>
        <v>8.443947193457864</v>
      </c>
      <c r="S150" s="133"/>
      <c r="U150" s="31">
        <f>GAMMAINV(0.95,P150,1/Q150)</f>
        <v>3.073167319591802E-06</v>
      </c>
      <c r="V150" s="31">
        <f>GAMMAINV(0.5,P150,1/Q150)</f>
        <v>3.639491400387731E-07</v>
      </c>
      <c r="W150" s="31">
        <f t="shared" si="59"/>
        <v>3.22789634486872E-06</v>
      </c>
      <c r="X150" s="31">
        <f t="shared" si="60"/>
        <v>3.8227339310809556E-07</v>
      </c>
      <c r="Y150" s="119">
        <v>39114</v>
      </c>
    </row>
    <row r="151" spans="1:25" ht="25.5" customHeight="1">
      <c r="A151" s="14" t="s">
        <v>413</v>
      </c>
      <c r="B151" s="14" t="s">
        <v>414</v>
      </c>
      <c r="C151" s="58" t="s">
        <v>336</v>
      </c>
      <c r="D151" s="52">
        <v>34</v>
      </c>
      <c r="E151" s="52">
        <v>5475000</v>
      </c>
      <c r="F151" s="52" t="s">
        <v>561</v>
      </c>
      <c r="G151" s="52">
        <v>125</v>
      </c>
      <c r="H151" s="56">
        <f aca="true" t="shared" si="61" ref="H151:H160">D151/E151</f>
        <v>6.210045662100457E-06</v>
      </c>
      <c r="I151" s="31">
        <f>(D151+0.5)/E151</f>
        <v>6.301369863013699E-06</v>
      </c>
      <c r="J151" s="3" t="s">
        <v>461</v>
      </c>
      <c r="K151" s="31">
        <v>7.38E-06</v>
      </c>
      <c r="L151" s="91">
        <v>0.3</v>
      </c>
      <c r="M151" s="111">
        <f>L151/K151</f>
        <v>40650.40650406504</v>
      </c>
      <c r="N151" s="49">
        <f aca="true" t="shared" si="62" ref="N151:N160">W151/X151</f>
        <v>18.765606572139177</v>
      </c>
      <c r="O151" s="51">
        <v>7E-06</v>
      </c>
      <c r="P151" s="49">
        <v>0.3</v>
      </c>
      <c r="Q151" s="31">
        <f>P151*(1-O151)/O151</f>
        <v>42856.84285714285</v>
      </c>
      <c r="R151" s="49">
        <f aca="true" t="shared" si="63" ref="R151:R160">U151/V151</f>
        <v>18.765606572139173</v>
      </c>
      <c r="S151" s="14" t="s">
        <v>493</v>
      </c>
      <c r="U151" s="31">
        <f>GAMMAINV(0.95,P151,1/Q151)</f>
        <v>3.202172706193718E-05</v>
      </c>
      <c r="V151" s="31">
        <f>GAMMAINV(0.5,P151,1/Q151)</f>
        <v>1.706405116127663E-06</v>
      </c>
      <c r="W151" s="31">
        <f t="shared" si="59"/>
        <v>3.3759813067810914E-05</v>
      </c>
      <c r="X151" s="31">
        <f t="shared" si="60"/>
        <v>1.7990259434476932E-06</v>
      </c>
      <c r="Y151" s="119">
        <v>39114</v>
      </c>
    </row>
    <row r="152" spans="1:25" ht="25.5" customHeight="1">
      <c r="A152" s="14" t="s">
        <v>647</v>
      </c>
      <c r="B152" s="54" t="s">
        <v>651</v>
      </c>
      <c r="C152" s="58" t="s">
        <v>336</v>
      </c>
      <c r="D152" s="52">
        <v>0</v>
      </c>
      <c r="E152" s="52">
        <v>7393</v>
      </c>
      <c r="F152" s="52" t="s">
        <v>562</v>
      </c>
      <c r="G152" s="52">
        <v>997</v>
      </c>
      <c r="H152" s="56">
        <f t="shared" si="61"/>
        <v>0</v>
      </c>
      <c r="I152" s="31">
        <f>(D152+0.5)/(E152+1)</f>
        <v>6.76223965377333E-05</v>
      </c>
      <c r="J152" s="3" t="s">
        <v>456</v>
      </c>
      <c r="K152" s="31">
        <f>I152</f>
        <v>6.76223965377333E-05</v>
      </c>
      <c r="L152" s="91">
        <v>0.5</v>
      </c>
      <c r="M152" s="111">
        <f>L152*(1-K152)/K152</f>
        <v>7393.5</v>
      </c>
      <c r="N152" s="49">
        <f>W152/X152</f>
        <v>8.442965387416875</v>
      </c>
      <c r="O152" s="51">
        <v>7E-05</v>
      </c>
      <c r="P152" s="49">
        <v>0.5</v>
      </c>
      <c r="Q152" s="31">
        <f>P152*(1-O152)/O152</f>
        <v>7142.357142857143</v>
      </c>
      <c r="R152" s="49">
        <f>U152/V152</f>
        <v>8.44294902138532</v>
      </c>
      <c r="U152" s="31">
        <f>BETAINV(0.95,P152,Q152)</f>
        <v>0.0002688942477107048</v>
      </c>
      <c r="V152" s="31">
        <f>BETAINV(0.5,P152,Q152)</f>
        <v>3.1848379876464605E-05</v>
      </c>
      <c r="W152" s="31">
        <f>BETAINV(0.95,L152,M152)</f>
        <v>0.0002597607672214508</v>
      </c>
      <c r="X152" s="31">
        <f>BETAINV(0.5,L152,M152)</f>
        <v>3.07665322907269E-05</v>
      </c>
      <c r="Y152" s="119">
        <v>39114</v>
      </c>
    </row>
    <row r="153" spans="1:25" ht="25.5" customHeight="1">
      <c r="A153" s="14" t="s">
        <v>648</v>
      </c>
      <c r="B153" s="14" t="s">
        <v>652</v>
      </c>
      <c r="C153" s="58" t="s">
        <v>336</v>
      </c>
      <c r="D153" s="52">
        <v>18</v>
      </c>
      <c r="E153" s="52">
        <v>7393</v>
      </c>
      <c r="F153" s="52" t="s">
        <v>562</v>
      </c>
      <c r="G153" s="52">
        <v>997</v>
      </c>
      <c r="H153" s="56">
        <f t="shared" si="61"/>
        <v>0.0024347355606654944</v>
      </c>
      <c r="I153" s="31">
        <f>(D153+0.5)/(E153+1)</f>
        <v>0.002502028671896132</v>
      </c>
      <c r="J153" s="3" t="s">
        <v>462</v>
      </c>
      <c r="K153" s="31">
        <v>0.00247</v>
      </c>
      <c r="L153" s="91">
        <v>0.3</v>
      </c>
      <c r="M153" s="111">
        <f>L153*(1-K153)/K153</f>
        <v>121.1574898785425</v>
      </c>
      <c r="N153" s="49">
        <f>W153/X153</f>
        <v>18.6649676666759</v>
      </c>
      <c r="O153" s="51">
        <v>0.0025</v>
      </c>
      <c r="P153" s="49">
        <v>0.3</v>
      </c>
      <c r="Q153" s="31">
        <f>P153*(1-O153)/O153</f>
        <v>119.7</v>
      </c>
      <c r="R153" s="49">
        <f>U153/V153</f>
        <v>18.663812396613796</v>
      </c>
      <c r="U153" s="31">
        <f>BETAINV(0.95,P153,Q153)</f>
        <v>0.011432647705078125</v>
      </c>
      <c r="V153" s="31">
        <f>BETAINV(0.5,P153,Q153)</f>
        <v>0.0006125569343566895</v>
      </c>
      <c r="W153" s="31">
        <f>BETAINV(0.95,L153,M153)</f>
        <v>0.011295437812805176</v>
      </c>
      <c r="X153" s="31">
        <f>BETAINV(0.5,L153,M153)</f>
        <v>0.0006051678210496902</v>
      </c>
      <c r="Y153" s="119">
        <v>39114</v>
      </c>
    </row>
    <row r="154" spans="1:25" ht="25.5" customHeight="1">
      <c r="A154" s="14" t="s">
        <v>649</v>
      </c>
      <c r="B154" s="14" t="s">
        <v>653</v>
      </c>
      <c r="C154" s="58" t="s">
        <v>336</v>
      </c>
      <c r="D154" s="52">
        <v>11</v>
      </c>
      <c r="E154" s="52">
        <f>G154*5*8760</f>
        <v>43668600</v>
      </c>
      <c r="F154" s="52" t="s">
        <v>561</v>
      </c>
      <c r="G154" s="52">
        <v>997</v>
      </c>
      <c r="H154" s="56">
        <f t="shared" si="61"/>
        <v>2.5189724424414796E-07</v>
      </c>
      <c r="I154" s="31">
        <f>(D154+0.5)/E154</f>
        <v>2.633471189825183E-07</v>
      </c>
      <c r="J154" s="3" t="s">
        <v>461</v>
      </c>
      <c r="K154" s="31">
        <v>2.12E-07</v>
      </c>
      <c r="L154" s="91">
        <v>0.3</v>
      </c>
      <c r="M154" s="111">
        <f>L154/K154</f>
        <v>1415094.3396226414</v>
      </c>
      <c r="N154" s="49">
        <f>W154/X154</f>
        <v>18.765606572139173</v>
      </c>
      <c r="O154" s="59">
        <v>2E-07</v>
      </c>
      <c r="P154" s="57">
        <v>0.3</v>
      </c>
      <c r="Q154" s="56">
        <f>P154/O154</f>
        <v>1500000</v>
      </c>
      <c r="R154" s="49">
        <f>U154/V154</f>
        <v>18.76560657213918</v>
      </c>
      <c r="U154" s="31">
        <f>GAMMAINV(0.95,P154,1/Q154)</f>
        <v>9.149000831385074E-07</v>
      </c>
      <c r="V154" s="31">
        <f>GAMMAINV(0.5,P154,1/Q154)</f>
        <v>4.875409060833857E-08</v>
      </c>
      <c r="W154" s="31">
        <f>GAMMAINV(0.95,L154,1/M154)</f>
        <v>9.697940881268175E-07</v>
      </c>
      <c r="X154" s="31">
        <f>GAMMAINV(0.5,L154,1/M154)</f>
        <v>5.167933604483889E-08</v>
      </c>
      <c r="Y154" s="119">
        <v>39114</v>
      </c>
    </row>
    <row r="155" spans="1:25" ht="25.5" customHeight="1">
      <c r="A155" s="14" t="s">
        <v>650</v>
      </c>
      <c r="B155" s="54" t="s">
        <v>654</v>
      </c>
      <c r="C155" s="58" t="s">
        <v>336</v>
      </c>
      <c r="D155" s="52"/>
      <c r="E155" s="52"/>
      <c r="F155" s="52" t="s">
        <v>562</v>
      </c>
      <c r="G155" s="52"/>
      <c r="H155" s="56"/>
      <c r="I155" s="56">
        <v>0.1</v>
      </c>
      <c r="J155" s="15" t="s">
        <v>489</v>
      </c>
      <c r="K155" s="56">
        <f>I155</f>
        <v>0.1</v>
      </c>
      <c r="L155" s="92">
        <v>0.5</v>
      </c>
      <c r="M155" s="111">
        <f>L155*(1-K155)/K155</f>
        <v>4.5</v>
      </c>
      <c r="N155" s="49">
        <f>W155/X155</f>
        <v>6.968929551189349</v>
      </c>
      <c r="O155" s="59">
        <f>K155</f>
        <v>0.1</v>
      </c>
      <c r="P155" s="57">
        <v>0.5</v>
      </c>
      <c r="Q155" s="31">
        <f>P155*(1-O155)/O155</f>
        <v>4.5</v>
      </c>
      <c r="R155" s="49">
        <f>U155/V155</f>
        <v>6.968929551189349</v>
      </c>
      <c r="S155" s="54" t="s">
        <v>488</v>
      </c>
      <c r="U155" s="31">
        <f>BETAINV(0.95,P155,Q155)</f>
        <v>0.3624868392944336</v>
      </c>
      <c r="V155" s="31">
        <f>BETAINV(0.5,P155,Q155)</f>
        <v>0.052014708518981934</v>
      </c>
      <c r="W155" s="31">
        <f>BETAINV(0.95,L155,M155)</f>
        <v>0.3624868392944336</v>
      </c>
      <c r="X155" s="31">
        <f>BETAINV(0.5,L155,M155)</f>
        <v>0.052014708518981934</v>
      </c>
      <c r="Y155" s="119">
        <v>39114</v>
      </c>
    </row>
    <row r="156" spans="1:25" ht="25.5" customHeight="1">
      <c r="A156" s="54" t="s">
        <v>720</v>
      </c>
      <c r="B156" s="54" t="s">
        <v>415</v>
      </c>
      <c r="C156" s="58" t="s">
        <v>336</v>
      </c>
      <c r="D156" s="60">
        <v>13</v>
      </c>
      <c r="E156" s="60">
        <v>2231788</v>
      </c>
      <c r="F156" s="60" t="s">
        <v>561</v>
      </c>
      <c r="G156" s="60">
        <v>55</v>
      </c>
      <c r="H156" s="56">
        <f t="shared" si="61"/>
        <v>5.8249260234395025E-06</v>
      </c>
      <c r="I156" s="56">
        <f>(D156+0.5)/E156</f>
        <v>6.048961639725637E-06</v>
      </c>
      <c r="J156" s="15" t="s">
        <v>348</v>
      </c>
      <c r="K156" s="56">
        <v>5.77E-06</v>
      </c>
      <c r="L156" s="92">
        <v>3.422</v>
      </c>
      <c r="M156" s="111">
        <f>L156/K156</f>
        <v>593067.5909878684</v>
      </c>
      <c r="N156" s="49">
        <f t="shared" si="62"/>
        <v>2.235737907299599</v>
      </c>
      <c r="O156" s="59">
        <v>6E-06</v>
      </c>
      <c r="P156" s="57">
        <v>3</v>
      </c>
      <c r="Q156" s="56">
        <f>P156/O156</f>
        <v>500000</v>
      </c>
      <c r="R156" s="49">
        <f t="shared" si="63"/>
        <v>2.3543946767000867</v>
      </c>
      <c r="U156" s="31">
        <f>GAMMAINV(0.95,P156,1/Q156)</f>
        <v>1.259158724407265E-05</v>
      </c>
      <c r="V156" s="31">
        <f>GAMMAINV(0.5,P156,1/Q156)</f>
        <v>5.348120843409732E-06</v>
      </c>
      <c r="W156" s="31">
        <f>GAMMAINV(0.95,L156,1/M156)</f>
        <v>1.166772026727639E-05</v>
      </c>
      <c r="X156" s="31">
        <f>GAMMAINV(0.5,L156,1/M156)</f>
        <v>5.218733479081662E-06</v>
      </c>
      <c r="Y156" s="119">
        <v>39114</v>
      </c>
    </row>
    <row r="157" spans="1:25" ht="25.5" customHeight="1">
      <c r="A157" s="14" t="s">
        <v>721</v>
      </c>
      <c r="B157" s="14" t="s">
        <v>416</v>
      </c>
      <c r="C157" s="58" t="s">
        <v>336</v>
      </c>
      <c r="D157" s="52">
        <v>11</v>
      </c>
      <c r="E157" s="52">
        <v>502.6</v>
      </c>
      <c r="F157" s="52" t="s">
        <v>562</v>
      </c>
      <c r="G157" s="52">
        <v>55</v>
      </c>
      <c r="H157" s="56">
        <f t="shared" si="61"/>
        <v>0.021886191802626343</v>
      </c>
      <c r="I157" s="31">
        <f>(D157+0.5)/(E157+1)</f>
        <v>0.02283558379666402</v>
      </c>
      <c r="J157" s="3" t="s">
        <v>355</v>
      </c>
      <c r="K157" s="31">
        <v>0.0222</v>
      </c>
      <c r="L157" s="91">
        <v>1.323</v>
      </c>
      <c r="M157" s="111">
        <f>L157*(1-K157)/K157</f>
        <v>58.27159459459459</v>
      </c>
      <c r="N157" s="49">
        <f t="shared" si="62"/>
        <v>3.4875281472206305</v>
      </c>
      <c r="O157" s="51">
        <v>0.02</v>
      </c>
      <c r="P157" s="49">
        <v>1.2</v>
      </c>
      <c r="Q157" s="31">
        <f>P157*(1-O157)/O157</f>
        <v>58.8</v>
      </c>
      <c r="R157" s="49">
        <f t="shared" si="63"/>
        <v>3.7195361455142275</v>
      </c>
      <c r="U157" s="31">
        <f>BETAINV(0.95,P157,Q157)</f>
        <v>0.05565309524536133</v>
      </c>
      <c r="V157" s="31">
        <f>BETAINV(0.5,P157,Q157)</f>
        <v>0.014962375164031982</v>
      </c>
      <c r="W157" s="31">
        <f>BETAINV(0.95,L157,M157)</f>
        <v>0.05968165397644043</v>
      </c>
      <c r="X157" s="31">
        <f>BETAINV(0.5,L157,M157)</f>
        <v>0.01711288094520569</v>
      </c>
      <c r="Y157" s="119">
        <v>39114</v>
      </c>
    </row>
    <row r="158" spans="1:25" ht="25.5" customHeight="1">
      <c r="A158" s="14" t="s">
        <v>722</v>
      </c>
      <c r="B158" s="14" t="s">
        <v>417</v>
      </c>
      <c r="C158" s="58" t="s">
        <v>336</v>
      </c>
      <c r="D158" s="52">
        <v>18</v>
      </c>
      <c r="E158" s="52">
        <v>7188</v>
      </c>
      <c r="F158" s="52" t="s">
        <v>561</v>
      </c>
      <c r="G158" s="52">
        <v>113</v>
      </c>
      <c r="H158" s="56">
        <f t="shared" si="61"/>
        <v>0.0025041736227045075</v>
      </c>
      <c r="I158" s="31">
        <f>(D158+0.5)/E158</f>
        <v>0.002573734001112966</v>
      </c>
      <c r="J158" s="3" t="s">
        <v>348</v>
      </c>
      <c r="K158" s="31">
        <v>0.00264</v>
      </c>
      <c r="L158" s="91">
        <v>0.796</v>
      </c>
      <c r="M158" s="111">
        <f>L158/K158</f>
        <v>301.51515151515156</v>
      </c>
      <c r="N158" s="49">
        <f t="shared" si="62"/>
        <v>5.198993563210315</v>
      </c>
      <c r="O158" s="51">
        <v>0.0025</v>
      </c>
      <c r="P158" s="49">
        <v>0.8</v>
      </c>
      <c r="Q158" s="31">
        <f>P158/O158</f>
        <v>320</v>
      </c>
      <c r="R158" s="49">
        <f t="shared" si="63"/>
        <v>5.1762986266320805</v>
      </c>
      <c r="U158" s="31">
        <f>GAMMAINV(0.95,P158,1/Q158)</f>
        <v>0.008109824123512951</v>
      </c>
      <c r="V158" s="31">
        <f>GAMMAINV(0.5,P158,1/Q158)</f>
        <v>0.0015667226156133784</v>
      </c>
      <c r="W158" s="31">
        <f>GAMMAINV(0.95,L158,1/M158)</f>
        <v>0.008579412850655502</v>
      </c>
      <c r="X158" s="31">
        <f>GAMMAINV(0.5,L158,1/M158)</f>
        <v>0.001650206476762364</v>
      </c>
      <c r="Y158" s="119">
        <v>39114</v>
      </c>
    </row>
    <row r="159" spans="1:25" ht="25.5" customHeight="1">
      <c r="A159" s="14" t="s">
        <v>723</v>
      </c>
      <c r="B159" s="14" t="s">
        <v>418</v>
      </c>
      <c r="C159" s="58" t="s">
        <v>336</v>
      </c>
      <c r="D159" s="52">
        <v>0</v>
      </c>
      <c r="E159" s="52">
        <v>6803</v>
      </c>
      <c r="F159" s="52" t="s">
        <v>561</v>
      </c>
      <c r="G159" s="52">
        <v>6</v>
      </c>
      <c r="H159" s="56">
        <f t="shared" si="61"/>
        <v>0</v>
      </c>
      <c r="I159" s="31">
        <f>(D159+0.5)/E159</f>
        <v>7.349698662354843E-05</v>
      </c>
      <c r="J159" s="3" t="s">
        <v>463</v>
      </c>
      <c r="K159" s="31">
        <f>I159</f>
        <v>7.349698662354843E-05</v>
      </c>
      <c r="L159" s="91">
        <v>0.5</v>
      </c>
      <c r="M159" s="111">
        <f>L159/K159</f>
        <v>6803</v>
      </c>
      <c r="N159" s="49">
        <f t="shared" si="62"/>
        <v>8.443947193457864</v>
      </c>
      <c r="O159" s="51">
        <v>7E-05</v>
      </c>
      <c r="P159" s="49">
        <v>0.5</v>
      </c>
      <c r="Q159" s="31">
        <f>P159/O159</f>
        <v>7142.857142857143</v>
      </c>
      <c r="R159" s="49">
        <f t="shared" si="63"/>
        <v>8.443947193457866</v>
      </c>
      <c r="S159" s="14" t="s">
        <v>448</v>
      </c>
      <c r="T159" s="71">
        <v>38629</v>
      </c>
      <c r="U159" s="31">
        <f>GAMMAINV(0.95,P159,1/Q159)</f>
        <v>0.0002689021404642827</v>
      </c>
      <c r="V159" s="31">
        <f>GAMMAINV(0.5,P159,1/Q159)</f>
        <v>3.184554975339265E-05</v>
      </c>
      <c r="W159" s="31">
        <f>GAMMAINV(0.95,L159,1/M159)</f>
        <v>0.00028233567172495613</v>
      </c>
      <c r="X159" s="31">
        <f>GAMMAINV(0.5,L159,1/M159)</f>
        <v>3.343645634635209E-05</v>
      </c>
      <c r="Y159" s="119">
        <v>39114</v>
      </c>
    </row>
    <row r="160" spans="1:25" ht="25.5" customHeight="1">
      <c r="A160" s="14" t="s">
        <v>724</v>
      </c>
      <c r="B160" s="14" t="s">
        <v>419</v>
      </c>
      <c r="C160" s="58" t="s">
        <v>336</v>
      </c>
      <c r="D160" s="52">
        <v>46</v>
      </c>
      <c r="E160" s="52">
        <v>7627</v>
      </c>
      <c r="F160" s="52" t="s">
        <v>562</v>
      </c>
      <c r="G160" s="52">
        <v>119</v>
      </c>
      <c r="H160" s="56">
        <f t="shared" si="61"/>
        <v>0.006031204929854464</v>
      </c>
      <c r="I160" s="31">
        <f>(D160+0.5)/(E160+1)</f>
        <v>0.006095962244362874</v>
      </c>
      <c r="J160" s="3" t="s">
        <v>355</v>
      </c>
      <c r="K160" s="31">
        <v>0.00688</v>
      </c>
      <c r="L160" s="91">
        <v>0.414</v>
      </c>
      <c r="M160" s="111">
        <f>L160*(1-K160)/K160</f>
        <v>59.76041860465116</v>
      </c>
      <c r="N160" s="49">
        <f t="shared" si="62"/>
        <v>10.746960836132375</v>
      </c>
      <c r="O160" s="51">
        <v>0.007</v>
      </c>
      <c r="P160" s="49">
        <v>0.4</v>
      </c>
      <c r="Q160" s="31">
        <f>P160*(1-O160)/O160</f>
        <v>56.74285714285714</v>
      </c>
      <c r="R160" s="49">
        <f t="shared" si="63"/>
        <v>11.303001102919835</v>
      </c>
      <c r="U160" s="31">
        <f>BETAINV(0.95,P160,Q160)</f>
        <v>0.029015064239501953</v>
      </c>
      <c r="V160" s="31">
        <f>BETAINV(0.5,P160,Q160)</f>
        <v>0.0025670230388641357</v>
      </c>
      <c r="W160" s="31">
        <f>BETAINV(0.95,L160,M160)</f>
        <v>0.028177499771118164</v>
      </c>
      <c r="X160" s="31">
        <f>BETAINV(0.5,L160,M160)</f>
        <v>0.0026219040155410767</v>
      </c>
      <c r="Y160" s="119">
        <v>39114</v>
      </c>
    </row>
    <row r="161" spans="1:25" ht="25.5" customHeight="1">
      <c r="A161" s="14" t="s">
        <v>157</v>
      </c>
      <c r="B161" s="14" t="s">
        <v>158</v>
      </c>
      <c r="C161" s="58" t="s">
        <v>336</v>
      </c>
      <c r="D161" s="52">
        <v>1</v>
      </c>
      <c r="E161" s="52">
        <f>G161*8*8760</f>
        <v>12264000</v>
      </c>
      <c r="F161" s="52" t="s">
        <v>561</v>
      </c>
      <c r="G161" s="52">
        <v>175</v>
      </c>
      <c r="H161" s="56">
        <f>D161/E161</f>
        <v>8.153946510110894E-08</v>
      </c>
      <c r="I161" s="31">
        <f>(D161+0.5)/E161</f>
        <v>1.223091976516634E-07</v>
      </c>
      <c r="J161" s="3" t="s">
        <v>463</v>
      </c>
      <c r="K161" s="31">
        <f>I161</f>
        <v>1.223091976516634E-07</v>
      </c>
      <c r="L161" s="91">
        <v>0.5</v>
      </c>
      <c r="M161" s="111">
        <f aca="true" t="shared" si="64" ref="M161:M169">L161/K161</f>
        <v>4088000</v>
      </c>
      <c r="N161" s="49">
        <f aca="true" t="shared" si="65" ref="N161:N176">W161/X161</f>
        <v>8.443947193457866</v>
      </c>
      <c r="O161" s="51">
        <v>1.2E-07</v>
      </c>
      <c r="P161" s="49">
        <v>0.5</v>
      </c>
      <c r="Q161" s="31">
        <f>P161*(1-O161)/O161</f>
        <v>4166666.166666667</v>
      </c>
      <c r="R161" s="49">
        <f aca="true" t="shared" si="66" ref="R161:R176">U161/V161</f>
        <v>8.443947193457868</v>
      </c>
      <c r="S161" s="14" t="s">
        <v>30</v>
      </c>
      <c r="U161" s="31">
        <f aca="true" t="shared" si="67" ref="U161:U169">GAMMAINV(0.95,P161,1/Q161)</f>
        <v>4.609751532557888E-07</v>
      </c>
      <c r="V161" s="31">
        <f aca="true" t="shared" si="68" ref="V161:V169">GAMMAINV(0.5,P161,1/Q161)</f>
        <v>5.4592377556901274E-08</v>
      </c>
      <c r="W161" s="31">
        <f aca="true" t="shared" si="69" ref="W161:W176">GAMMAINV(0.95,L161,1/M161)</f>
        <v>4.69845786385733E-07</v>
      </c>
      <c r="X161" s="31">
        <f aca="true" t="shared" si="70" ref="X161:X176">GAMMAINV(0.5,L161,1/M161)</f>
        <v>5.564290913019404E-08</v>
      </c>
      <c r="Y161" s="119">
        <v>39114</v>
      </c>
    </row>
    <row r="162" spans="1:25" ht="25.5" customHeight="1">
      <c r="A162" s="14" t="s">
        <v>159</v>
      </c>
      <c r="B162" s="14" t="s">
        <v>160</v>
      </c>
      <c r="C162" s="15" t="s">
        <v>336</v>
      </c>
      <c r="D162" s="52"/>
      <c r="E162" s="52"/>
      <c r="F162" s="52" t="s">
        <v>561</v>
      </c>
      <c r="G162" s="52"/>
      <c r="H162" s="56"/>
      <c r="J162" s="3" t="s">
        <v>521</v>
      </c>
      <c r="K162" s="31">
        <f>K161*0.07</f>
        <v>8.56164383561644E-09</v>
      </c>
      <c r="L162" s="91">
        <v>0.3</v>
      </c>
      <c r="M162" s="111">
        <f t="shared" si="64"/>
        <v>35039999.99999999</v>
      </c>
      <c r="N162" s="49">
        <f t="shared" si="65"/>
        <v>18.765606572139177</v>
      </c>
      <c r="O162" s="51">
        <v>9E-09</v>
      </c>
      <c r="P162" s="49">
        <v>0.3</v>
      </c>
      <c r="Q162" s="31">
        <f>P162*(1-O162)/O162</f>
        <v>33333333.033333335</v>
      </c>
      <c r="R162" s="49">
        <f t="shared" si="66"/>
        <v>18.765606572139173</v>
      </c>
      <c r="S162" s="14" t="s">
        <v>522</v>
      </c>
      <c r="U162" s="31">
        <f t="shared" si="67"/>
        <v>4.117050411176735E-08</v>
      </c>
      <c r="V162" s="31">
        <f t="shared" si="68"/>
        <v>2.1939340971206424E-09</v>
      </c>
      <c r="W162" s="31">
        <f t="shared" si="69"/>
        <v>3.9165243285038844E-08</v>
      </c>
      <c r="X162" s="31">
        <f t="shared" si="70"/>
        <v>2.0870757965898364E-09</v>
      </c>
      <c r="Y162" s="119">
        <v>39114</v>
      </c>
    </row>
    <row r="163" spans="1:25" ht="25.5" customHeight="1">
      <c r="A163" s="14" t="s">
        <v>93</v>
      </c>
      <c r="B163" s="14" t="s">
        <v>94</v>
      </c>
      <c r="C163" s="58" t="s">
        <v>336</v>
      </c>
      <c r="D163" s="52">
        <v>81</v>
      </c>
      <c r="E163" s="52">
        <f>G163*5*8760</f>
        <v>199027200</v>
      </c>
      <c r="F163" s="52" t="s">
        <v>561</v>
      </c>
      <c r="G163" s="52">
        <v>4544</v>
      </c>
      <c r="H163" s="56">
        <f>D163/E163</f>
        <v>4.0697954852402086E-07</v>
      </c>
      <c r="I163" s="31">
        <f>(D163+0.5)/E163</f>
        <v>4.094917679593543E-07</v>
      </c>
      <c r="J163" s="3" t="s">
        <v>348</v>
      </c>
      <c r="K163" s="56">
        <v>9.04E-07</v>
      </c>
      <c r="L163" s="92">
        <v>0.314</v>
      </c>
      <c r="M163" s="111">
        <f t="shared" si="64"/>
        <v>347345.1327433628</v>
      </c>
      <c r="N163" s="49">
        <f t="shared" si="65"/>
        <v>17.197476008371936</v>
      </c>
      <c r="O163" s="59">
        <v>9E-07</v>
      </c>
      <c r="P163" s="57">
        <v>0.3</v>
      </c>
      <c r="Q163" s="56">
        <f aca="true" t="shared" si="71" ref="Q163:Q170">P163/O163</f>
        <v>333333.3333333333</v>
      </c>
      <c r="R163" s="49">
        <f t="shared" si="66"/>
        <v>18.765606572139173</v>
      </c>
      <c r="S163" s="54"/>
      <c r="U163" s="31">
        <f t="shared" si="67"/>
        <v>4.117050374123282E-06</v>
      </c>
      <c r="V163" s="31">
        <f t="shared" si="68"/>
        <v>2.1939340773752358E-07</v>
      </c>
      <c r="W163" s="31">
        <f t="shared" si="69"/>
        <v>4.074793396474003E-06</v>
      </c>
      <c r="X163" s="31">
        <f t="shared" si="70"/>
        <v>2.3694136247030347E-07</v>
      </c>
      <c r="Y163" s="119">
        <v>39114</v>
      </c>
    </row>
    <row r="164" spans="1:25" ht="25.5" customHeight="1">
      <c r="A164" s="54" t="s">
        <v>725</v>
      </c>
      <c r="B164" s="54" t="s">
        <v>547</v>
      </c>
      <c r="C164" s="58" t="s">
        <v>336</v>
      </c>
      <c r="D164" s="60">
        <v>1</v>
      </c>
      <c r="E164" s="52">
        <f>G164*8*8760</f>
        <v>47023680</v>
      </c>
      <c r="F164" s="52" t="s">
        <v>561</v>
      </c>
      <c r="G164" s="60">
        <v>671</v>
      </c>
      <c r="H164" s="56">
        <f>D164/E164</f>
        <v>2.1265881360199796E-08</v>
      </c>
      <c r="I164" s="31">
        <f>(D164+0.5)/E164</f>
        <v>3.189882204029969E-08</v>
      </c>
      <c r="J164" s="3" t="s">
        <v>463</v>
      </c>
      <c r="K164" s="56">
        <f>I164</f>
        <v>3.189882204029969E-08</v>
      </c>
      <c r="L164" s="92">
        <v>0.5</v>
      </c>
      <c r="M164" s="111">
        <f t="shared" si="64"/>
        <v>15674560.000000002</v>
      </c>
      <c r="N164" s="49">
        <f t="shared" si="65"/>
        <v>8.443947193457866</v>
      </c>
      <c r="O164" s="59">
        <v>3E-08</v>
      </c>
      <c r="P164" s="57">
        <v>0.5</v>
      </c>
      <c r="Q164" s="56">
        <f t="shared" si="71"/>
        <v>16666666.666666668</v>
      </c>
      <c r="R164" s="49">
        <f t="shared" si="66"/>
        <v>8.443947193457866</v>
      </c>
      <c r="S164" s="14" t="s">
        <v>30</v>
      </c>
      <c r="U164" s="31">
        <f t="shared" si="67"/>
        <v>1.1524377448469258E-07</v>
      </c>
      <c r="V164" s="31">
        <f t="shared" si="68"/>
        <v>1.3648092751453991E-08</v>
      </c>
      <c r="W164" s="31">
        <f t="shared" si="69"/>
        <v>1.2253802178465464E-07</v>
      </c>
      <c r="X164" s="31">
        <f t="shared" si="70"/>
        <v>1.451193606227117E-08</v>
      </c>
      <c r="Y164" s="119">
        <v>39114</v>
      </c>
    </row>
    <row r="165" spans="1:25" ht="25.5" customHeight="1">
      <c r="A165" s="54" t="s">
        <v>726</v>
      </c>
      <c r="B165" s="54" t="s">
        <v>548</v>
      </c>
      <c r="C165" s="15" t="s">
        <v>336</v>
      </c>
      <c r="D165" s="60"/>
      <c r="E165" s="60"/>
      <c r="F165" s="60" t="s">
        <v>561</v>
      </c>
      <c r="G165" s="60"/>
      <c r="H165" s="56"/>
      <c r="I165" s="56"/>
      <c r="J165" s="15" t="s">
        <v>521</v>
      </c>
      <c r="K165" s="56">
        <f>K164*0.07</f>
        <v>2.2329175428209787E-09</v>
      </c>
      <c r="L165" s="92">
        <v>0.3</v>
      </c>
      <c r="M165" s="111">
        <f t="shared" si="64"/>
        <v>134353371.42857143</v>
      </c>
      <c r="N165" s="49">
        <f t="shared" si="65"/>
        <v>18.765606572139173</v>
      </c>
      <c r="O165" s="59">
        <v>2E-09</v>
      </c>
      <c r="P165" s="57">
        <v>0.3</v>
      </c>
      <c r="Q165" s="56">
        <f t="shared" si="71"/>
        <v>150000000</v>
      </c>
      <c r="R165" s="49">
        <f t="shared" si="66"/>
        <v>18.765606572139173</v>
      </c>
      <c r="S165" s="14" t="s">
        <v>522</v>
      </c>
      <c r="U165" s="31">
        <f t="shared" si="67"/>
        <v>9.14900083138507E-09</v>
      </c>
      <c r="V165" s="31">
        <f t="shared" si="68"/>
        <v>4.875409060833857E-10</v>
      </c>
      <c r="W165" s="31">
        <f t="shared" si="69"/>
        <v>1.0214482227841721E-08</v>
      </c>
      <c r="X165" s="31">
        <f t="shared" si="70"/>
        <v>5.443193210182135E-10</v>
      </c>
      <c r="Y165" s="119">
        <v>39114</v>
      </c>
    </row>
    <row r="166" spans="1:25" ht="25.5" customHeight="1">
      <c r="A166" s="54" t="s">
        <v>727</v>
      </c>
      <c r="B166" s="54" t="s">
        <v>549</v>
      </c>
      <c r="C166" s="58" t="s">
        <v>336</v>
      </c>
      <c r="D166" s="57">
        <v>1.5</v>
      </c>
      <c r="E166" s="52">
        <f>G166*8*8760</f>
        <v>50948160</v>
      </c>
      <c r="F166" s="52" t="s">
        <v>561</v>
      </c>
      <c r="G166" s="60">
        <v>727</v>
      </c>
      <c r="H166" s="56">
        <f>D166/E166</f>
        <v>2.9441691319176196E-08</v>
      </c>
      <c r="I166" s="31">
        <f>(D166+0.5)/E166</f>
        <v>3.9255588425568264E-08</v>
      </c>
      <c r="J166" s="3" t="s">
        <v>463</v>
      </c>
      <c r="K166" s="56">
        <f>I166</f>
        <v>3.9255588425568264E-08</v>
      </c>
      <c r="L166" s="92">
        <v>0.5</v>
      </c>
      <c r="M166" s="111">
        <f>L166/K166</f>
        <v>12737040</v>
      </c>
      <c r="N166" s="49">
        <f>W166/X166</f>
        <v>8.443947193457866</v>
      </c>
      <c r="O166" s="59">
        <v>4E-08</v>
      </c>
      <c r="P166" s="57">
        <v>0.5</v>
      </c>
      <c r="Q166" s="56">
        <f>P166/O166</f>
        <v>12500000</v>
      </c>
      <c r="R166" s="49">
        <f>U166/V166</f>
        <v>8.443947193457866</v>
      </c>
      <c r="S166" s="14" t="s">
        <v>30</v>
      </c>
      <c r="U166" s="31">
        <f>GAMMAINV(0.95,P166,1/Q166)</f>
        <v>1.5365836597959012E-07</v>
      </c>
      <c r="V166" s="31">
        <f>GAMMAINV(0.5,P166,1/Q166)</f>
        <v>1.8197457001938657E-08</v>
      </c>
      <c r="W166" s="31">
        <f>GAMMAINV(0.95,L166,1/M166)</f>
        <v>1.5079873932600327E-07</v>
      </c>
      <c r="X166" s="31">
        <f>GAMMAINV(0.5,L166,1/M166)</f>
        <v>1.7858797061501983E-08</v>
      </c>
      <c r="Y166" s="119">
        <v>39114</v>
      </c>
    </row>
    <row r="167" spans="1:25" ht="25.5" customHeight="1">
      <c r="A167" s="54" t="s">
        <v>726</v>
      </c>
      <c r="B167" s="54" t="s">
        <v>548</v>
      </c>
      <c r="C167" s="15" t="s">
        <v>336</v>
      </c>
      <c r="D167" s="60"/>
      <c r="E167" s="60"/>
      <c r="F167" s="60" t="s">
        <v>561</v>
      </c>
      <c r="G167" s="60"/>
      <c r="H167" s="56"/>
      <c r="I167" s="56"/>
      <c r="J167" s="15" t="s">
        <v>521</v>
      </c>
      <c r="K167" s="56">
        <f>K166*0.07</f>
        <v>2.747891189789779E-09</v>
      </c>
      <c r="L167" s="92">
        <v>0.3</v>
      </c>
      <c r="M167" s="111">
        <f>L167/K167</f>
        <v>109174628.57142855</v>
      </c>
      <c r="N167" s="49">
        <f>W167/X167</f>
        <v>18.76560657213917</v>
      </c>
      <c r="O167" s="59">
        <v>3E-09</v>
      </c>
      <c r="P167" s="57">
        <v>0.3</v>
      </c>
      <c r="Q167" s="56">
        <f>P167/O167</f>
        <v>100000000</v>
      </c>
      <c r="R167" s="49">
        <f>U167/V167</f>
        <v>18.765606572139173</v>
      </c>
      <c r="S167" s="14" t="s">
        <v>522</v>
      </c>
      <c r="U167" s="31">
        <f>GAMMAINV(0.95,P167,1/Q167)</f>
        <v>1.3723501247077606E-08</v>
      </c>
      <c r="V167" s="31">
        <f>GAMMAINV(0.5,P167,1/Q167)</f>
        <v>7.313113591250785E-10</v>
      </c>
      <c r="W167" s="31">
        <f>GAMMAINV(0.95,L167,1/M167)</f>
        <v>1.2570229389971196E-08</v>
      </c>
      <c r="X167" s="31">
        <f>GAMMAINV(0.5,L167,1/M167)</f>
        <v>6.698546802443308E-10</v>
      </c>
      <c r="Y167" s="119">
        <v>39114</v>
      </c>
    </row>
    <row r="168" spans="1:25" ht="25.5" customHeight="1">
      <c r="A168" s="54" t="s">
        <v>420</v>
      </c>
      <c r="B168" s="54" t="s">
        <v>421</v>
      </c>
      <c r="C168" s="58" t="s">
        <v>336</v>
      </c>
      <c r="D168" s="60">
        <v>29</v>
      </c>
      <c r="E168" s="60">
        <f>G168*5*8760</f>
        <v>8584800</v>
      </c>
      <c r="F168" s="60" t="s">
        <v>561</v>
      </c>
      <c r="G168" s="60">
        <v>196</v>
      </c>
      <c r="H168" s="56">
        <f aca="true" t="shared" si="72" ref="H168:H173">D168/E168</f>
        <v>3.3780635541887986E-06</v>
      </c>
      <c r="I168" s="56">
        <f>(D168+0.5)/E168</f>
        <v>3.4363060292610193E-06</v>
      </c>
      <c r="J168" s="15" t="s">
        <v>348</v>
      </c>
      <c r="K168" s="56">
        <v>4.68E-06</v>
      </c>
      <c r="L168" s="92">
        <v>0.502</v>
      </c>
      <c r="M168" s="111">
        <f t="shared" si="64"/>
        <v>107264.95726495727</v>
      </c>
      <c r="N168" s="49">
        <f t="shared" si="65"/>
        <v>8.40221794356058</v>
      </c>
      <c r="O168" s="59">
        <v>5E-06</v>
      </c>
      <c r="P168" s="57">
        <v>0.5</v>
      </c>
      <c r="Q168" s="56">
        <f t="shared" si="71"/>
        <v>99999.99999999999</v>
      </c>
      <c r="R168" s="49">
        <f t="shared" si="66"/>
        <v>8.443947193457863</v>
      </c>
      <c r="S168" s="14" t="s">
        <v>493</v>
      </c>
      <c r="U168" s="31">
        <f t="shared" si="67"/>
        <v>1.9207295747448762E-05</v>
      </c>
      <c r="V168" s="31">
        <f t="shared" si="68"/>
        <v>2.2746821252423326E-06</v>
      </c>
      <c r="W168" s="31">
        <f t="shared" si="69"/>
        <v>1.795247415545665E-05</v>
      </c>
      <c r="X168" s="31">
        <f t="shared" si="70"/>
        <v>2.1366351451541845E-06</v>
      </c>
      <c r="Y168" s="119">
        <v>39114</v>
      </c>
    </row>
    <row r="169" spans="1:25" ht="25.5" customHeight="1">
      <c r="A169" s="54" t="s">
        <v>170</v>
      </c>
      <c r="B169" s="54" t="s">
        <v>169</v>
      </c>
      <c r="C169" s="58" t="s">
        <v>336</v>
      </c>
      <c r="D169" s="60">
        <v>2</v>
      </c>
      <c r="E169" s="60">
        <v>7301</v>
      </c>
      <c r="F169" s="60" t="s">
        <v>561</v>
      </c>
      <c r="G169" s="60">
        <v>139</v>
      </c>
      <c r="H169" s="56">
        <f t="shared" si="72"/>
        <v>0.00027393507738665936</v>
      </c>
      <c r="I169" s="31">
        <f>(D169+0.5)/(E169+1)</f>
        <v>0.00034237195288961927</v>
      </c>
      <c r="J169" s="3" t="s">
        <v>463</v>
      </c>
      <c r="K169" s="31">
        <f>I169</f>
        <v>0.00034237195288961927</v>
      </c>
      <c r="L169" s="92">
        <v>0.5</v>
      </c>
      <c r="M169" s="111">
        <f t="shared" si="64"/>
        <v>1460.4</v>
      </c>
      <c r="N169" s="49">
        <f t="shared" si="65"/>
        <v>8.43903168140429</v>
      </c>
      <c r="O169" s="59">
        <v>0.0003</v>
      </c>
      <c r="P169" s="57">
        <v>0.5</v>
      </c>
      <c r="Q169" s="56">
        <f t="shared" si="71"/>
        <v>1666.6666666666667</v>
      </c>
      <c r="R169" s="49">
        <f t="shared" si="66"/>
        <v>8.443947193457864</v>
      </c>
      <c r="S169" s="54"/>
      <c r="U169" s="31">
        <f t="shared" si="67"/>
        <v>0.0011524377448469255</v>
      </c>
      <c r="V169" s="31">
        <f t="shared" si="68"/>
        <v>0.0001364809275145399</v>
      </c>
      <c r="W169" s="31">
        <f>BETAINV(0.95,L169,M169)</f>
        <v>0.0013145655393600464</v>
      </c>
      <c r="X169" s="31">
        <f>BETAINV(0.5,L169,M169)</f>
        <v>0.00015577208250761032</v>
      </c>
      <c r="Y169" s="119">
        <v>39114</v>
      </c>
    </row>
    <row r="170" spans="1:25" ht="25.5" customHeight="1">
      <c r="A170" s="54" t="s">
        <v>497</v>
      </c>
      <c r="B170" s="54" t="s">
        <v>498</v>
      </c>
      <c r="C170" s="58" t="s">
        <v>336</v>
      </c>
      <c r="D170" s="60">
        <v>3</v>
      </c>
      <c r="E170" s="60">
        <v>7301</v>
      </c>
      <c r="F170" s="60" t="s">
        <v>561</v>
      </c>
      <c r="G170" s="60">
        <v>139</v>
      </c>
      <c r="H170" s="56">
        <f t="shared" si="72"/>
        <v>0.00041090261607998904</v>
      </c>
      <c r="I170" s="31">
        <f>(D170+0.5)/(E170+1)</f>
        <v>0.000479320734045467</v>
      </c>
      <c r="J170" s="3" t="s">
        <v>463</v>
      </c>
      <c r="K170" s="31">
        <f>I170</f>
        <v>0.000479320734045467</v>
      </c>
      <c r="L170" s="92">
        <v>0.5</v>
      </c>
      <c r="M170" s="111">
        <f>L170/K170</f>
        <v>1043.142857142857</v>
      </c>
      <c r="N170" s="49">
        <f>W170/X170</f>
        <v>8.437116466172156</v>
      </c>
      <c r="O170" s="59">
        <v>0.0005</v>
      </c>
      <c r="P170" s="57">
        <v>0.5</v>
      </c>
      <c r="Q170" s="56">
        <f t="shared" si="71"/>
        <v>1000</v>
      </c>
      <c r="R170" s="49">
        <f>U170/V170</f>
        <v>8.443947193457868</v>
      </c>
      <c r="S170" s="54"/>
      <c r="U170" s="31">
        <f>GAMMAINV(0.95,P170,1/Q170)</f>
        <v>0.001920729574744877</v>
      </c>
      <c r="V170" s="31">
        <f>GAMMAINV(0.5,P170,1/Q170)</f>
        <v>0.00022746821252423322</v>
      </c>
      <c r="W170" s="31">
        <f>BETAINV(0.95,L170,M170)</f>
        <v>0.0018400400876998901</v>
      </c>
      <c r="X170" s="31">
        <f>BETAINV(0.5,L170,M170)</f>
        <v>0.00021808873862028122</v>
      </c>
      <c r="Y170" s="119">
        <v>39114</v>
      </c>
    </row>
    <row r="171" spans="1:25" ht="25.5" customHeight="1">
      <c r="A171" s="54" t="s">
        <v>422</v>
      </c>
      <c r="B171" s="54" t="s">
        <v>423</v>
      </c>
      <c r="C171" s="58" t="s">
        <v>336</v>
      </c>
      <c r="D171" s="60">
        <v>1</v>
      </c>
      <c r="E171" s="60">
        <v>2017</v>
      </c>
      <c r="F171" s="60" t="s">
        <v>562</v>
      </c>
      <c r="G171" s="60">
        <v>107</v>
      </c>
      <c r="H171" s="31">
        <f t="shared" si="72"/>
        <v>0.0004957858205255329</v>
      </c>
      <c r="I171" s="31">
        <f>(D171+0.5)/(E171+1)</f>
        <v>0.0007433102081268583</v>
      </c>
      <c r="J171" s="3" t="s">
        <v>456</v>
      </c>
      <c r="K171" s="56">
        <f>I171</f>
        <v>0.0007433102081268583</v>
      </c>
      <c r="L171" s="92">
        <v>0.5</v>
      </c>
      <c r="M171" s="111">
        <f>L171*(1-K171)/K171</f>
        <v>672.1666666666666</v>
      </c>
      <c r="N171" s="49">
        <f t="shared" si="65"/>
        <v>8.433305176384483</v>
      </c>
      <c r="O171" s="59">
        <v>0.0007</v>
      </c>
      <c r="P171" s="57">
        <v>0.5</v>
      </c>
      <c r="Q171" s="31">
        <f>P171*(1-O171)/O171</f>
        <v>713.7857142857142</v>
      </c>
      <c r="R171" s="49">
        <f t="shared" si="66"/>
        <v>8.43393602225313</v>
      </c>
      <c r="S171" s="54"/>
      <c r="U171" s="31">
        <f>BETAINV(0.95,P171,Q171)</f>
        <v>0.0026882290840148926</v>
      </c>
      <c r="V171" s="31">
        <f>BETAINV(0.5,P171,Q171)</f>
        <v>0.00031873956322669983</v>
      </c>
      <c r="W171" s="31">
        <f>BETAINV(0.95,L171,M171)</f>
        <v>0.0028544962406158447</v>
      </c>
      <c r="X171" s="31">
        <f>BETAINV(0.5,L171,M171)</f>
        <v>0.0003384789451956749</v>
      </c>
      <c r="Y171" s="119">
        <v>39114</v>
      </c>
    </row>
    <row r="172" spans="1:25" ht="25.5" customHeight="1">
      <c r="A172" s="54" t="s">
        <v>424</v>
      </c>
      <c r="B172" s="54" t="s">
        <v>425</v>
      </c>
      <c r="C172" s="58" t="s">
        <v>336</v>
      </c>
      <c r="D172" s="60">
        <v>0</v>
      </c>
      <c r="E172" s="52">
        <f>G172*8*8760</f>
        <v>78559680</v>
      </c>
      <c r="F172" s="52" t="s">
        <v>561</v>
      </c>
      <c r="G172" s="60">
        <v>1121</v>
      </c>
      <c r="H172" s="56">
        <f t="shared" si="72"/>
        <v>0</v>
      </c>
      <c r="I172" s="56">
        <f>(D172+0.5)/E172</f>
        <v>6.364588043128485E-09</v>
      </c>
      <c r="J172" s="15" t="s">
        <v>463</v>
      </c>
      <c r="K172" s="56">
        <f>I172</f>
        <v>6.364588043128485E-09</v>
      </c>
      <c r="L172" s="92">
        <v>0.5</v>
      </c>
      <c r="M172" s="110">
        <f>L172/K172</f>
        <v>78559680</v>
      </c>
      <c r="N172" s="57">
        <f t="shared" si="65"/>
        <v>8.443947193457866</v>
      </c>
      <c r="O172" s="59">
        <v>6E-09</v>
      </c>
      <c r="P172" s="57">
        <v>0.5</v>
      </c>
      <c r="Q172" s="56">
        <f>P172/O172</f>
        <v>83333333.33333333</v>
      </c>
      <c r="R172" s="57">
        <f t="shared" si="66"/>
        <v>8.443947193457864</v>
      </c>
      <c r="S172" s="54"/>
      <c r="T172" s="62"/>
      <c r="U172" s="56">
        <f>GAMMAINV(0.95,P172,1/Q172)</f>
        <v>2.3048754896938518E-08</v>
      </c>
      <c r="V172" s="56">
        <f>GAMMAINV(0.5,P172,1/Q172)</f>
        <v>2.729618550290799E-09</v>
      </c>
      <c r="W172" s="56">
        <f t="shared" si="69"/>
        <v>2.4449304971009004E-08</v>
      </c>
      <c r="X172" s="56">
        <f t="shared" si="70"/>
        <v>2.895482931247088E-09</v>
      </c>
      <c r="Y172" s="119">
        <v>39114</v>
      </c>
    </row>
    <row r="173" spans="1:25" ht="25.5" customHeight="1">
      <c r="A173" s="54" t="s">
        <v>161</v>
      </c>
      <c r="B173" s="54" t="s">
        <v>162</v>
      </c>
      <c r="C173" s="58" t="s">
        <v>336</v>
      </c>
      <c r="D173" s="60">
        <v>3</v>
      </c>
      <c r="E173" s="52">
        <f>G173*8*8760</f>
        <v>78559680</v>
      </c>
      <c r="F173" s="52" t="s">
        <v>561</v>
      </c>
      <c r="G173" s="60">
        <v>1121</v>
      </c>
      <c r="H173" s="56">
        <f t="shared" si="72"/>
        <v>3.8187528258770914E-08</v>
      </c>
      <c r="I173" s="56">
        <f>(D173+0.5)/E173</f>
        <v>4.4552116301899395E-08</v>
      </c>
      <c r="J173" s="15" t="s">
        <v>463</v>
      </c>
      <c r="K173" s="56">
        <f>I173</f>
        <v>4.4552116301899395E-08</v>
      </c>
      <c r="L173" s="92">
        <v>0.5</v>
      </c>
      <c r="M173" s="111">
        <f>L173/K173</f>
        <v>11222811.42857143</v>
      </c>
      <c r="N173" s="49">
        <f t="shared" si="65"/>
        <v>8.443947193457864</v>
      </c>
      <c r="O173" s="59">
        <v>4E-08</v>
      </c>
      <c r="P173" s="57">
        <v>0.5</v>
      </c>
      <c r="Q173" s="56">
        <f>P173/O173</f>
        <v>12500000</v>
      </c>
      <c r="R173" s="49">
        <f t="shared" si="66"/>
        <v>8.443947193457866</v>
      </c>
      <c r="S173" s="14" t="s">
        <v>30</v>
      </c>
      <c r="T173" s="62"/>
      <c r="U173" s="56">
        <f>GAMMAINV(0.95,P173,1/Q173)</f>
        <v>1.5365836597959012E-07</v>
      </c>
      <c r="V173" s="56">
        <f>GAMMAINV(0.5,P173,1/Q173)</f>
        <v>1.8197457001938657E-08</v>
      </c>
      <c r="W173" s="56">
        <f t="shared" si="69"/>
        <v>1.71145134797063E-07</v>
      </c>
      <c r="X173" s="56">
        <f t="shared" si="70"/>
        <v>2.0268380518729616E-08</v>
      </c>
      <c r="Y173" s="119">
        <v>39114</v>
      </c>
    </row>
    <row r="174" spans="1:25" ht="25.5" customHeight="1">
      <c r="A174" s="54" t="s">
        <v>163</v>
      </c>
      <c r="B174" s="54" t="s">
        <v>164</v>
      </c>
      <c r="C174" s="15" t="s">
        <v>336</v>
      </c>
      <c r="D174" s="60"/>
      <c r="E174" s="60"/>
      <c r="F174" s="60" t="s">
        <v>561</v>
      </c>
      <c r="G174" s="60"/>
      <c r="H174" s="56"/>
      <c r="I174" s="56"/>
      <c r="J174" s="15" t="s">
        <v>521</v>
      </c>
      <c r="K174" s="56">
        <f>K173*0.07</f>
        <v>3.118648141132958E-09</v>
      </c>
      <c r="L174" s="92">
        <v>0.3</v>
      </c>
      <c r="M174" s="111">
        <f>L174/K174</f>
        <v>96195526.53061223</v>
      </c>
      <c r="N174" s="49">
        <f t="shared" si="65"/>
        <v>18.765606572139177</v>
      </c>
      <c r="O174" s="59">
        <v>3E-09</v>
      </c>
      <c r="P174" s="57">
        <v>0.3</v>
      </c>
      <c r="Q174" s="56">
        <f>P174/O174</f>
        <v>100000000</v>
      </c>
      <c r="R174" s="49">
        <f t="shared" si="66"/>
        <v>18.765606572139173</v>
      </c>
      <c r="S174" s="14" t="s">
        <v>522</v>
      </c>
      <c r="T174" s="62"/>
      <c r="U174" s="56">
        <f>GAMMAINV(0.95,P174,1/Q174)</f>
        <v>1.3723501247077606E-08</v>
      </c>
      <c r="V174" s="56">
        <f>GAMMAINV(0.5,P174,1/Q174)</f>
        <v>7.313113591250785E-10</v>
      </c>
      <c r="W174" s="56">
        <f t="shared" si="69"/>
        <v>1.426625721801147E-08</v>
      </c>
      <c r="X174" s="56">
        <f t="shared" si="70"/>
        <v>7.602342702416145E-10</v>
      </c>
      <c r="Y174" s="119">
        <v>39114</v>
      </c>
    </row>
    <row r="175" spans="1:25" ht="25.5" customHeight="1">
      <c r="A175" s="54" t="s">
        <v>165</v>
      </c>
      <c r="B175" s="54" t="s">
        <v>166</v>
      </c>
      <c r="C175" s="58" t="s">
        <v>336</v>
      </c>
      <c r="D175" s="60">
        <v>0</v>
      </c>
      <c r="E175" s="52">
        <f>G175*8*8760</f>
        <v>7498560</v>
      </c>
      <c r="F175" s="52" t="s">
        <v>561</v>
      </c>
      <c r="G175" s="60">
        <v>107</v>
      </c>
      <c r="H175" s="56">
        <f>D175/E175</f>
        <v>0</v>
      </c>
      <c r="I175" s="56">
        <f>(D175+0.5)/E175</f>
        <v>6.667946912473862E-08</v>
      </c>
      <c r="J175" s="15" t="s">
        <v>463</v>
      </c>
      <c r="K175" s="56">
        <f>I175</f>
        <v>6.667946912473862E-08</v>
      </c>
      <c r="L175" s="92">
        <v>0.5</v>
      </c>
      <c r="M175" s="111">
        <f>L175/K175</f>
        <v>7498560</v>
      </c>
      <c r="N175" s="49">
        <f t="shared" si="65"/>
        <v>8.443947193457866</v>
      </c>
      <c r="O175" s="59">
        <v>7E-08</v>
      </c>
      <c r="P175" s="57">
        <v>0.5</v>
      </c>
      <c r="Q175" s="56">
        <f>P175/O175</f>
        <v>7142857.142857143</v>
      </c>
      <c r="R175" s="49">
        <f t="shared" si="66"/>
        <v>8.443947193457866</v>
      </c>
      <c r="S175" s="14" t="s">
        <v>30</v>
      </c>
      <c r="T175" s="62"/>
      <c r="U175" s="56">
        <f>GAMMAINV(0.95,P175,1/Q175)</f>
        <v>2.689021404642828E-07</v>
      </c>
      <c r="V175" s="56">
        <f>GAMMAINV(0.5,P175,1/Q175)</f>
        <v>3.184554975339266E-08</v>
      </c>
      <c r="W175" s="56">
        <f t="shared" si="69"/>
        <v>2.5614645675234666E-07</v>
      </c>
      <c r="X175" s="56">
        <f t="shared" si="70"/>
        <v>3.0334919307738184E-08</v>
      </c>
      <c r="Y175" s="119">
        <v>39114</v>
      </c>
    </row>
    <row r="176" spans="1:25" ht="25.5" customHeight="1">
      <c r="A176" s="41" t="s">
        <v>167</v>
      </c>
      <c r="B176" s="72" t="s">
        <v>168</v>
      </c>
      <c r="C176" s="5" t="s">
        <v>336</v>
      </c>
      <c r="D176" s="72"/>
      <c r="E176" s="72"/>
      <c r="F176" s="4" t="s">
        <v>561</v>
      </c>
      <c r="G176" s="72"/>
      <c r="H176" s="72"/>
      <c r="I176" s="72"/>
      <c r="J176" s="5" t="s">
        <v>470</v>
      </c>
      <c r="K176" s="69">
        <f>K175*0.02</f>
        <v>1.3335893824947723E-09</v>
      </c>
      <c r="L176" s="93">
        <v>0.3</v>
      </c>
      <c r="M176" s="112">
        <f>L176/K176</f>
        <v>224956800</v>
      </c>
      <c r="N176" s="73">
        <f t="shared" si="65"/>
        <v>18.765606572139173</v>
      </c>
      <c r="O176" s="74">
        <v>1.2E-09</v>
      </c>
      <c r="P176" s="73">
        <v>0.3</v>
      </c>
      <c r="Q176" s="69">
        <f>P176/O176</f>
        <v>250000000</v>
      </c>
      <c r="R176" s="73">
        <f t="shared" si="66"/>
        <v>18.765606572139173</v>
      </c>
      <c r="S176" s="41" t="s">
        <v>465</v>
      </c>
      <c r="T176" s="62"/>
      <c r="U176" s="56">
        <f>GAMMAINV(0.95,P176,1/Q176)</f>
        <v>5.489400498831042E-09</v>
      </c>
      <c r="V176" s="56">
        <f>GAMMAINV(0.5,P176,1/Q176)</f>
        <v>2.9252454365003144E-10</v>
      </c>
      <c r="W176" s="56">
        <f t="shared" si="69"/>
        <v>6.1005051845854866E-09</v>
      </c>
      <c r="X176" s="56">
        <f t="shared" si="70"/>
        <v>3.2508968794234203E-10</v>
      </c>
      <c r="Y176" s="120">
        <v>39114</v>
      </c>
    </row>
    <row r="177" spans="11:25" ht="12.75" hidden="1">
      <c r="K177" s="31"/>
      <c r="L177" s="91"/>
      <c r="M177" s="111"/>
      <c r="N177" s="49"/>
      <c r="O177" s="51"/>
      <c r="P177" s="49"/>
      <c r="Y177" s="119">
        <v>39114</v>
      </c>
    </row>
    <row r="178" spans="1:25" ht="12.75" hidden="1">
      <c r="A178" s="30" t="s">
        <v>426</v>
      </c>
      <c r="K178" s="31"/>
      <c r="L178" s="91"/>
      <c r="M178" s="111"/>
      <c r="N178" s="49"/>
      <c r="O178" s="51"/>
      <c r="P178" s="49"/>
      <c r="Y178" s="119">
        <v>39114</v>
      </c>
    </row>
    <row r="179" spans="1:25" ht="12.75" hidden="1">
      <c r="A179" s="72"/>
      <c r="B179" s="41"/>
      <c r="C179" s="72"/>
      <c r="D179" s="75"/>
      <c r="E179" s="75"/>
      <c r="F179" s="75"/>
      <c r="G179" s="75"/>
      <c r="H179" s="69"/>
      <c r="I179" s="69"/>
      <c r="J179" s="5"/>
      <c r="K179" s="69"/>
      <c r="L179" s="93"/>
      <c r="M179" s="112"/>
      <c r="N179" s="73"/>
      <c r="O179" s="74"/>
      <c r="P179" s="73"/>
      <c r="Q179" s="72"/>
      <c r="R179" s="72"/>
      <c r="S179" s="41"/>
      <c r="Y179" s="119">
        <v>39114</v>
      </c>
    </row>
    <row r="180" spans="1:25" ht="12.75" hidden="1">
      <c r="A180" s="76" t="s">
        <v>427</v>
      </c>
      <c r="B180" s="78"/>
      <c r="C180" s="76"/>
      <c r="D180" s="76"/>
      <c r="E180" s="76"/>
      <c r="F180" s="76"/>
      <c r="G180" s="76"/>
      <c r="H180" s="86"/>
      <c r="I180" s="86"/>
      <c r="Y180" s="119">
        <v>39114</v>
      </c>
    </row>
    <row r="181" spans="1:19" ht="25.5" customHeight="1">
      <c r="A181" s="136" t="s">
        <v>750</v>
      </c>
      <c r="B181" s="137"/>
      <c r="C181" s="137"/>
      <c r="D181" s="137"/>
      <c r="E181" s="137"/>
      <c r="F181" s="137"/>
      <c r="G181" s="137"/>
      <c r="H181" s="137"/>
      <c r="I181" s="137"/>
      <c r="J181" s="137"/>
      <c r="K181" s="137"/>
      <c r="L181" s="137"/>
      <c r="M181" s="137"/>
      <c r="N181" s="137"/>
      <c r="O181" s="137"/>
      <c r="P181" s="137"/>
      <c r="Q181" s="137"/>
      <c r="R181" s="137"/>
      <c r="S181" s="137"/>
    </row>
    <row r="182" spans="1:19" ht="12.75" customHeight="1" hidden="1">
      <c r="A182" s="136" t="s">
        <v>171</v>
      </c>
      <c r="B182" s="137"/>
      <c r="C182" s="137"/>
      <c r="D182" s="137"/>
      <c r="E182" s="137"/>
      <c r="F182" s="137"/>
      <c r="G182" s="137"/>
      <c r="H182" s="137"/>
      <c r="I182" s="137"/>
      <c r="J182" s="137"/>
      <c r="K182" s="137"/>
      <c r="L182" s="137"/>
      <c r="M182" s="137"/>
      <c r="N182" s="137"/>
      <c r="O182" s="137"/>
      <c r="P182" s="137"/>
      <c r="Q182" s="137"/>
      <c r="R182" s="137"/>
      <c r="S182" s="137"/>
    </row>
    <row r="183" spans="1:19" ht="12.75" customHeight="1" hidden="1">
      <c r="A183" s="132" t="s">
        <v>22</v>
      </c>
      <c r="B183" s="137"/>
      <c r="C183" s="137"/>
      <c r="D183" s="137"/>
      <c r="E183" s="137"/>
      <c r="F183" s="137"/>
      <c r="G183" s="137"/>
      <c r="H183" s="137"/>
      <c r="I183" s="137"/>
      <c r="J183" s="137"/>
      <c r="K183" s="137"/>
      <c r="L183" s="137"/>
      <c r="M183" s="137"/>
      <c r="N183" s="137"/>
      <c r="O183" s="137"/>
      <c r="P183" s="137"/>
      <c r="Q183" s="137"/>
      <c r="R183" s="137"/>
      <c r="S183" s="137"/>
    </row>
    <row r="184" ht="12.75" customHeight="1" hidden="1">
      <c r="A184" s="30" t="s">
        <v>172</v>
      </c>
    </row>
    <row r="185" spans="1:19" ht="12.75" customHeight="1" hidden="1">
      <c r="A185" s="132" t="s">
        <v>26</v>
      </c>
      <c r="B185" s="137"/>
      <c r="C185" s="137"/>
      <c r="D185" s="137"/>
      <c r="E185" s="137"/>
      <c r="F185" s="137"/>
      <c r="G185" s="137"/>
      <c r="H185" s="137"/>
      <c r="I185" s="137"/>
      <c r="J185" s="137"/>
      <c r="K185" s="137"/>
      <c r="L185" s="137"/>
      <c r="M185" s="137"/>
      <c r="N185" s="137"/>
      <c r="O185" s="137"/>
      <c r="P185" s="137"/>
      <c r="Q185" s="137"/>
      <c r="R185" s="137"/>
      <c r="S185" s="137"/>
    </row>
    <row r="186" spans="1:19" ht="25.5" customHeight="1">
      <c r="A186" s="132" t="s">
        <v>754</v>
      </c>
      <c r="B186" s="138"/>
      <c r="C186" s="138"/>
      <c r="D186" s="138"/>
      <c r="E186" s="138"/>
      <c r="F186" s="138"/>
      <c r="G186" s="138"/>
      <c r="H186" s="138"/>
      <c r="I186" s="138"/>
      <c r="J186" s="138"/>
      <c r="K186" s="138"/>
      <c r="L186" s="138"/>
      <c r="M186" s="138"/>
      <c r="N186" s="138"/>
      <c r="O186" s="138"/>
      <c r="P186" s="138"/>
      <c r="Q186" s="138"/>
      <c r="R186" s="138"/>
      <c r="S186" s="138"/>
    </row>
    <row r="187" spans="1:19" ht="12.75" customHeight="1">
      <c r="A187" s="132" t="s">
        <v>737</v>
      </c>
      <c r="B187" s="133"/>
      <c r="C187" s="133"/>
      <c r="D187" s="133"/>
      <c r="E187" s="133"/>
      <c r="F187" s="133"/>
      <c r="G187" s="133"/>
      <c r="H187" s="133"/>
      <c r="I187" s="133"/>
      <c r="J187" s="133"/>
      <c r="K187" s="133"/>
      <c r="L187" s="133"/>
      <c r="M187" s="133"/>
      <c r="N187" s="133"/>
      <c r="O187" s="133"/>
      <c r="P187" s="133"/>
      <c r="Q187" s="133"/>
      <c r="R187" s="133"/>
      <c r="S187" s="133"/>
    </row>
    <row r="188" spans="1:19" ht="12.75" customHeight="1">
      <c r="A188" s="135" t="s">
        <v>738</v>
      </c>
      <c r="B188" s="133"/>
      <c r="C188" s="133"/>
      <c r="D188" s="133"/>
      <c r="E188" s="133"/>
      <c r="F188" s="133"/>
      <c r="G188" s="133"/>
      <c r="H188" s="133"/>
      <c r="I188" s="133"/>
      <c r="J188" s="133"/>
      <c r="K188" s="133"/>
      <c r="L188" s="133"/>
      <c r="M188" s="133"/>
      <c r="N188" s="133"/>
      <c r="O188" s="133"/>
      <c r="P188" s="133"/>
      <c r="Q188" s="133"/>
      <c r="R188" s="133"/>
      <c r="S188" s="133"/>
    </row>
    <row r="189" spans="1:19" ht="12.75" customHeight="1">
      <c r="A189" s="135" t="s">
        <v>740</v>
      </c>
      <c r="B189" s="133"/>
      <c r="C189" s="133"/>
      <c r="D189" s="133"/>
      <c r="E189" s="133"/>
      <c r="F189" s="133"/>
      <c r="G189" s="133"/>
      <c r="H189" s="133"/>
      <c r="I189" s="133"/>
      <c r="J189" s="133"/>
      <c r="K189" s="133"/>
      <c r="L189" s="133"/>
      <c r="M189" s="133"/>
      <c r="N189" s="133"/>
      <c r="O189" s="133"/>
      <c r="P189" s="133"/>
      <c r="Q189" s="133"/>
      <c r="R189" s="133"/>
      <c r="S189" s="133"/>
    </row>
    <row r="191" spans="2:19" ht="25.5" customHeight="1">
      <c r="B191" s="30"/>
      <c r="D191" s="30"/>
      <c r="E191" s="30"/>
      <c r="F191" s="30"/>
      <c r="G191" s="30"/>
      <c r="H191" s="30"/>
      <c r="I191" s="30"/>
      <c r="J191" s="30"/>
      <c r="K191" s="30"/>
      <c r="N191" s="30"/>
      <c r="O191" s="30"/>
      <c r="S191" s="30"/>
    </row>
    <row r="192" spans="2:19" ht="25.5" customHeight="1">
      <c r="B192" s="30"/>
      <c r="D192" s="30"/>
      <c r="E192" s="30"/>
      <c r="F192" s="30"/>
      <c r="G192" s="30"/>
      <c r="H192" s="30"/>
      <c r="I192" s="30"/>
      <c r="J192" s="30"/>
      <c r="K192" s="30"/>
      <c r="N192" s="30"/>
      <c r="O192" s="30"/>
      <c r="S192" s="30"/>
    </row>
    <row r="193" spans="2:19" ht="25.5" customHeight="1">
      <c r="B193" s="30"/>
      <c r="D193" s="30"/>
      <c r="E193" s="30"/>
      <c r="F193" s="30"/>
      <c r="G193" s="30"/>
      <c r="H193" s="30"/>
      <c r="I193" s="30"/>
      <c r="J193" s="30"/>
      <c r="K193" s="30"/>
      <c r="N193" s="30"/>
      <c r="O193" s="30"/>
      <c r="S193" s="30"/>
    </row>
    <row r="194" spans="2:19" ht="25.5" customHeight="1">
      <c r="B194" s="30"/>
      <c r="D194" s="30"/>
      <c r="E194" s="30"/>
      <c r="F194" s="30"/>
      <c r="G194" s="30"/>
      <c r="H194" s="30"/>
      <c r="I194" s="30"/>
      <c r="J194" s="30"/>
      <c r="K194" s="30"/>
      <c r="N194" s="30"/>
      <c r="O194" s="30"/>
      <c r="S194" s="30"/>
    </row>
    <row r="195" spans="2:19" ht="25.5" customHeight="1">
      <c r="B195" s="30"/>
      <c r="D195" s="30"/>
      <c r="E195" s="30"/>
      <c r="F195" s="30"/>
      <c r="G195" s="30"/>
      <c r="H195" s="30"/>
      <c r="I195" s="30"/>
      <c r="J195" s="30"/>
      <c r="K195" s="30"/>
      <c r="N195" s="30"/>
      <c r="O195" s="30"/>
      <c r="S195" s="30"/>
    </row>
    <row r="196" spans="2:19" ht="25.5" customHeight="1">
      <c r="B196" s="30"/>
      <c r="D196" s="30"/>
      <c r="E196" s="30"/>
      <c r="F196" s="30"/>
      <c r="G196" s="30"/>
      <c r="H196" s="30"/>
      <c r="I196" s="30"/>
      <c r="J196" s="30"/>
      <c r="K196" s="30"/>
      <c r="N196" s="30"/>
      <c r="O196" s="30"/>
      <c r="S196" s="30"/>
    </row>
    <row r="197" spans="2:19" ht="25.5" customHeight="1">
      <c r="B197" s="30"/>
      <c r="D197" s="30"/>
      <c r="E197" s="30"/>
      <c r="F197" s="30"/>
      <c r="G197" s="30"/>
      <c r="H197" s="30"/>
      <c r="I197" s="30"/>
      <c r="J197" s="30"/>
      <c r="K197" s="30"/>
      <c r="N197" s="30"/>
      <c r="O197" s="30"/>
      <c r="S197" s="30"/>
    </row>
    <row r="198" spans="2:19" ht="25.5" customHeight="1">
      <c r="B198" s="30"/>
      <c r="D198" s="30"/>
      <c r="E198" s="30"/>
      <c r="F198" s="30"/>
      <c r="G198" s="30"/>
      <c r="H198" s="30"/>
      <c r="I198" s="30"/>
      <c r="J198" s="30"/>
      <c r="K198" s="30"/>
      <c r="N198" s="30"/>
      <c r="O198" s="30"/>
      <c r="S198" s="30"/>
    </row>
    <row r="199" spans="2:19" ht="25.5" customHeight="1">
      <c r="B199" s="30"/>
      <c r="D199" s="30"/>
      <c r="E199" s="30"/>
      <c r="F199" s="30"/>
      <c r="G199" s="30"/>
      <c r="H199" s="30"/>
      <c r="I199" s="30"/>
      <c r="J199" s="30"/>
      <c r="K199" s="30"/>
      <c r="N199" s="30"/>
      <c r="O199" s="30"/>
      <c r="S199" s="30"/>
    </row>
    <row r="200" spans="2:19" ht="25.5" customHeight="1">
      <c r="B200" s="30"/>
      <c r="D200" s="30"/>
      <c r="E200" s="30"/>
      <c r="F200" s="30"/>
      <c r="G200" s="30"/>
      <c r="H200" s="30"/>
      <c r="I200" s="30"/>
      <c r="J200" s="30"/>
      <c r="K200" s="30"/>
      <c r="N200" s="30"/>
      <c r="O200" s="30"/>
      <c r="S200" s="30"/>
    </row>
    <row r="201" spans="2:19" ht="25.5" customHeight="1">
      <c r="B201" s="30"/>
      <c r="D201" s="30"/>
      <c r="E201" s="30"/>
      <c r="F201" s="30"/>
      <c r="G201" s="30"/>
      <c r="H201" s="30"/>
      <c r="I201" s="30"/>
      <c r="J201" s="30"/>
      <c r="K201" s="30"/>
      <c r="N201" s="30"/>
      <c r="O201" s="30"/>
      <c r="S201" s="30"/>
    </row>
    <row r="202" spans="2:19" ht="25.5" customHeight="1">
      <c r="B202" s="30"/>
      <c r="D202" s="30"/>
      <c r="E202" s="30"/>
      <c r="F202" s="30"/>
      <c r="G202" s="30"/>
      <c r="H202" s="30"/>
      <c r="I202" s="30"/>
      <c r="J202" s="30"/>
      <c r="K202" s="30"/>
      <c r="N202" s="30"/>
      <c r="O202" s="30"/>
      <c r="S202" s="30"/>
    </row>
    <row r="203" spans="2:19" ht="25.5" customHeight="1">
      <c r="B203" s="30"/>
      <c r="D203" s="30"/>
      <c r="E203" s="30"/>
      <c r="F203" s="30"/>
      <c r="G203" s="30"/>
      <c r="H203" s="30"/>
      <c r="I203" s="30"/>
      <c r="J203" s="30"/>
      <c r="K203" s="30"/>
      <c r="N203" s="30"/>
      <c r="O203" s="30"/>
      <c r="S203" s="30"/>
    </row>
    <row r="204" spans="3:18" ht="25.5" customHeight="1">
      <c r="C204" s="2"/>
      <c r="D204" s="52"/>
      <c r="E204" s="52"/>
      <c r="F204" s="52"/>
      <c r="G204" s="52"/>
      <c r="K204" s="31"/>
      <c r="L204" s="91"/>
      <c r="M204" s="111"/>
      <c r="N204" s="49"/>
      <c r="O204" s="51"/>
      <c r="P204" s="49"/>
      <c r="Q204" s="2"/>
      <c r="R204" s="2"/>
    </row>
    <row r="205" spans="3:18" ht="25.5" customHeight="1">
      <c r="C205" s="2"/>
      <c r="D205" s="52"/>
      <c r="E205" s="52"/>
      <c r="F205" s="52"/>
      <c r="G205" s="52"/>
      <c r="K205" s="31"/>
      <c r="L205" s="91"/>
      <c r="M205" s="111"/>
      <c r="N205" s="49"/>
      <c r="O205" s="51"/>
      <c r="P205" s="49"/>
      <c r="Q205" s="2"/>
      <c r="R205" s="2"/>
    </row>
    <row r="206" spans="3:18" ht="25.5" customHeight="1">
      <c r="C206" s="2"/>
      <c r="D206" s="52"/>
      <c r="E206" s="52"/>
      <c r="F206" s="52"/>
      <c r="G206" s="52"/>
      <c r="K206" s="31"/>
      <c r="L206" s="91"/>
      <c r="M206" s="111"/>
      <c r="N206" s="49"/>
      <c r="O206" s="51"/>
      <c r="P206" s="49"/>
      <c r="Q206" s="2"/>
      <c r="R206" s="2"/>
    </row>
    <row r="207" spans="3:18" ht="12.75">
      <c r="C207" s="2"/>
      <c r="D207" s="52"/>
      <c r="E207" s="52"/>
      <c r="F207" s="52"/>
      <c r="G207" s="52"/>
      <c r="K207" s="31"/>
      <c r="L207" s="91"/>
      <c r="M207" s="111"/>
      <c r="N207" s="49"/>
      <c r="O207" s="51"/>
      <c r="P207" s="49"/>
      <c r="Q207" s="2"/>
      <c r="R207" s="2"/>
    </row>
    <row r="208" spans="3:18" ht="12.75">
      <c r="C208" s="2"/>
      <c r="D208" s="52"/>
      <c r="E208" s="52"/>
      <c r="F208" s="52"/>
      <c r="G208" s="52"/>
      <c r="K208" s="31"/>
      <c r="L208" s="91"/>
      <c r="M208" s="111"/>
      <c r="N208" s="49"/>
      <c r="O208" s="51"/>
      <c r="P208" s="49"/>
      <c r="Q208" s="2"/>
      <c r="R208" s="2"/>
    </row>
    <row r="209" spans="3:18" ht="12.75">
      <c r="C209" s="2"/>
      <c r="D209" s="52"/>
      <c r="E209" s="52"/>
      <c r="F209" s="52"/>
      <c r="G209" s="52"/>
      <c r="K209" s="31"/>
      <c r="L209" s="91"/>
      <c r="M209" s="111"/>
      <c r="N209" s="49"/>
      <c r="O209" s="51"/>
      <c r="P209" s="49"/>
      <c r="Q209" s="2"/>
      <c r="R209" s="2"/>
    </row>
    <row r="210" spans="3:18" ht="12.75">
      <c r="C210" s="2"/>
      <c r="D210" s="52"/>
      <c r="E210" s="52"/>
      <c r="F210" s="52"/>
      <c r="G210" s="52"/>
      <c r="K210" s="31"/>
      <c r="L210" s="91"/>
      <c r="M210" s="111"/>
      <c r="N210" s="49"/>
      <c r="O210" s="51"/>
      <c r="P210" s="49"/>
      <c r="Q210" s="2"/>
      <c r="R210" s="2"/>
    </row>
    <row r="211" spans="3:18" ht="12.75">
      <c r="C211" s="2"/>
      <c r="D211" s="52"/>
      <c r="E211" s="52"/>
      <c r="F211" s="52"/>
      <c r="G211" s="52"/>
      <c r="K211" s="31"/>
      <c r="L211" s="91"/>
      <c r="M211" s="111"/>
      <c r="N211" s="49"/>
      <c r="O211" s="51"/>
      <c r="P211" s="49"/>
      <c r="Q211" s="2"/>
      <c r="R211" s="2"/>
    </row>
    <row r="212" spans="3:7" ht="12.75">
      <c r="C212" s="2"/>
      <c r="D212" s="52"/>
      <c r="E212" s="52"/>
      <c r="F212" s="52"/>
      <c r="G212" s="52"/>
    </row>
    <row r="213" spans="3:7" ht="12.75">
      <c r="C213" s="2"/>
      <c r="D213" s="52"/>
      <c r="E213" s="52"/>
      <c r="F213" s="52"/>
      <c r="G213" s="52"/>
    </row>
    <row r="214" spans="3:7" ht="12.75">
      <c r="C214" s="2"/>
      <c r="D214" s="52"/>
      <c r="E214" s="52"/>
      <c r="F214" s="52"/>
      <c r="G214" s="52"/>
    </row>
    <row r="215" spans="3:7" ht="12.75">
      <c r="C215" s="2"/>
      <c r="D215" s="52"/>
      <c r="E215" s="52"/>
      <c r="F215" s="52"/>
      <c r="G215" s="52"/>
    </row>
    <row r="216" spans="3:7" ht="12.75">
      <c r="C216" s="2"/>
      <c r="D216" s="52"/>
      <c r="E216" s="52"/>
      <c r="F216" s="52"/>
      <c r="G216" s="52"/>
    </row>
    <row r="217" spans="3:7" ht="12.75">
      <c r="C217" s="2"/>
      <c r="D217" s="52"/>
      <c r="E217" s="52"/>
      <c r="F217" s="52"/>
      <c r="G217" s="52"/>
    </row>
    <row r="218" spans="3:7" ht="12.75">
      <c r="C218" s="2"/>
      <c r="D218" s="52"/>
      <c r="E218" s="52"/>
      <c r="F218" s="52"/>
      <c r="G218" s="52"/>
    </row>
  </sheetData>
  <mergeCells count="19">
    <mergeCell ref="Y4:Y5"/>
    <mergeCell ref="D4:I4"/>
    <mergeCell ref="S147:S148"/>
    <mergeCell ref="S149:S150"/>
    <mergeCell ref="S145:S146"/>
    <mergeCell ref="J4:R4"/>
    <mergeCell ref="S143:S144"/>
    <mergeCell ref="S4:S5"/>
    <mergeCell ref="A189:S189"/>
    <mergeCell ref="A181:S181"/>
    <mergeCell ref="A182:S182"/>
    <mergeCell ref="A183:S183"/>
    <mergeCell ref="A185:S185"/>
    <mergeCell ref="A188:S188"/>
    <mergeCell ref="A186:S186"/>
    <mergeCell ref="B4:B5"/>
    <mergeCell ref="A4:A5"/>
    <mergeCell ref="A187:S187"/>
    <mergeCell ref="C4:C5"/>
  </mergeCells>
  <printOptions/>
  <pageMargins left="0.75" right="0.75" top="1" bottom="1" header="0.5" footer="0.5"/>
  <pageSetup horizontalDpi="600" verticalDpi="600" orientation="landscape" scale="53" r:id="rId1"/>
</worksheet>
</file>

<file path=xl/worksheets/sheet2.xml><?xml version="1.0" encoding="utf-8"?>
<worksheet xmlns="http://schemas.openxmlformats.org/spreadsheetml/2006/main" xmlns:r="http://schemas.openxmlformats.org/officeDocument/2006/relationships">
  <sheetPr>
    <pageSetUpPr fitToPage="1"/>
  </sheetPr>
  <dimension ref="A1:AF48"/>
  <sheetViews>
    <sheetView zoomScale="75" zoomScaleNormal="75" workbookViewId="0" topLeftCell="A1">
      <selection activeCell="A2" sqref="A2"/>
    </sheetView>
  </sheetViews>
  <sheetFormatPr defaultColWidth="9.140625" defaultRowHeight="12.75"/>
  <cols>
    <col min="1" max="1" width="14.57421875" style="30" customWidth="1"/>
    <col min="2" max="2" width="26.421875" style="14" customWidth="1"/>
    <col min="3" max="3" width="11.00390625" style="30" hidden="1" customWidth="1"/>
    <col min="4" max="4" width="9.28125" style="2" customWidth="1"/>
    <col min="5" max="5" width="9.28125" style="52" customWidth="1"/>
    <col min="6" max="6" width="12.421875" style="30" hidden="1" customWidth="1"/>
    <col min="7" max="7" width="12.8515625" style="30" hidden="1" customWidth="1"/>
    <col min="8" max="8" width="12.00390625" style="30" hidden="1" customWidth="1"/>
    <col min="9" max="9" width="9.421875" style="30" hidden="1" customWidth="1"/>
    <col min="10" max="10" width="39.8515625" style="30" hidden="1" customWidth="1"/>
    <col min="11" max="11" width="23.8515625" style="30" customWidth="1"/>
    <col min="12" max="12" width="10.28125" style="24" bestFit="1" customWidth="1"/>
    <col min="13" max="13" width="7.57421875" style="88" bestFit="1" customWidth="1"/>
    <col min="14" max="14" width="11.57421875" style="108" bestFit="1" customWidth="1"/>
    <col min="15" max="15" width="7.140625" style="25" customWidth="1"/>
    <col min="16" max="16" width="9.28125" style="26" customWidth="1"/>
    <col min="17" max="17" width="8.28125" style="25" customWidth="1"/>
    <col min="18" max="18" width="8.57421875" style="24" customWidth="1"/>
    <col min="19" max="19" width="7.00390625" style="24" customWidth="1"/>
    <col min="20" max="20" width="39.00390625" style="24" customWidth="1"/>
    <col min="21" max="21" width="27.421875" style="30" hidden="1" customWidth="1"/>
    <col min="22" max="22" width="9.140625" style="30" hidden="1" customWidth="1"/>
    <col min="23" max="23" width="10.28125" style="24" hidden="1" customWidth="1"/>
    <col min="24" max="24" width="8.28125" style="24" hidden="1" customWidth="1"/>
    <col min="25" max="27" width="0" style="30" hidden="1" customWidth="1"/>
    <col min="28" max="28" width="39.421875" style="3" hidden="1" customWidth="1"/>
    <col min="29" max="16384" width="9.140625" style="30" customWidth="1"/>
  </cols>
  <sheetData>
    <row r="1" ht="12.75">
      <c r="A1" s="30" t="s">
        <v>307</v>
      </c>
    </row>
    <row r="2" ht="12.75">
      <c r="A2" s="27"/>
    </row>
    <row r="4" spans="1:29" ht="12.75" customHeight="1">
      <c r="A4" s="129" t="s">
        <v>572</v>
      </c>
      <c r="B4" s="129" t="s">
        <v>571</v>
      </c>
      <c r="C4" s="3" t="s">
        <v>192</v>
      </c>
      <c r="D4" s="129" t="s">
        <v>175</v>
      </c>
      <c r="E4" s="131" t="s">
        <v>329</v>
      </c>
      <c r="F4" s="143"/>
      <c r="G4" s="143"/>
      <c r="H4" s="143"/>
      <c r="I4" s="143"/>
      <c r="J4" s="143"/>
      <c r="K4" s="134" t="s">
        <v>741</v>
      </c>
      <c r="L4" s="143"/>
      <c r="M4" s="143"/>
      <c r="N4" s="143"/>
      <c r="O4" s="143"/>
      <c r="P4" s="143"/>
      <c r="Q4" s="143"/>
      <c r="R4" s="143"/>
      <c r="S4" s="30"/>
      <c r="T4" s="142" t="s">
        <v>658</v>
      </c>
      <c r="AB4" s="129" t="s">
        <v>636</v>
      </c>
      <c r="AC4" s="129" t="s">
        <v>755</v>
      </c>
    </row>
    <row r="5" spans="1:29" ht="39.75" customHeight="1">
      <c r="A5" s="134"/>
      <c r="B5" s="131"/>
      <c r="C5" s="4" t="s">
        <v>174</v>
      </c>
      <c r="D5" s="131"/>
      <c r="E5" s="23" t="s">
        <v>565</v>
      </c>
      <c r="F5" s="5" t="s">
        <v>566</v>
      </c>
      <c r="G5" s="5" t="s">
        <v>567</v>
      </c>
      <c r="H5" s="5" t="s">
        <v>568</v>
      </c>
      <c r="I5" s="5" t="s">
        <v>293</v>
      </c>
      <c r="J5" s="6" t="s">
        <v>211</v>
      </c>
      <c r="K5" s="5" t="s">
        <v>733</v>
      </c>
      <c r="L5" s="7" t="s">
        <v>174</v>
      </c>
      <c r="M5" s="116" t="s">
        <v>518</v>
      </c>
      <c r="N5" s="109" t="s">
        <v>519</v>
      </c>
      <c r="O5" s="8" t="s">
        <v>212</v>
      </c>
      <c r="P5" s="9" t="s">
        <v>742</v>
      </c>
      <c r="Q5" s="22" t="s">
        <v>735</v>
      </c>
      <c r="R5" s="107" t="s">
        <v>736</v>
      </c>
      <c r="S5" s="7" t="s">
        <v>212</v>
      </c>
      <c r="T5" s="143"/>
      <c r="U5" s="4" t="s">
        <v>185</v>
      </c>
      <c r="W5" s="83" t="s">
        <v>15</v>
      </c>
      <c r="X5" s="12" t="s">
        <v>270</v>
      </c>
      <c r="Z5" s="83" t="s">
        <v>15</v>
      </c>
      <c r="AA5" s="12" t="s">
        <v>270</v>
      </c>
      <c r="AB5" s="129"/>
      <c r="AC5" s="141"/>
    </row>
    <row r="6" spans="1:29" ht="25.5" customHeight="1">
      <c r="A6" s="20" t="s">
        <v>176</v>
      </c>
      <c r="B6" s="20" t="s">
        <v>271</v>
      </c>
      <c r="C6" s="11">
        <v>0.0025</v>
      </c>
      <c r="D6" s="11" t="s">
        <v>291</v>
      </c>
      <c r="E6" s="19"/>
      <c r="F6" s="10"/>
      <c r="G6" s="10"/>
      <c r="H6" s="10"/>
      <c r="I6" s="12">
        <v>0.00248</v>
      </c>
      <c r="J6" s="2" t="s">
        <v>296</v>
      </c>
      <c r="K6" s="16" t="s">
        <v>615</v>
      </c>
      <c r="L6" s="12">
        <v>0.00248</v>
      </c>
      <c r="M6" s="96">
        <v>0.5</v>
      </c>
      <c r="N6" s="114">
        <f>M6*(1-L6)/L6</f>
        <v>201.11290322580643</v>
      </c>
      <c r="O6" s="13">
        <f>Z6/AA6</f>
        <v>8.408427386042348</v>
      </c>
      <c r="P6" s="18">
        <v>0.0025</v>
      </c>
      <c r="Q6" s="17">
        <v>0.5</v>
      </c>
      <c r="R6" s="12">
        <f>Q6*(1-P6)/P6</f>
        <v>199.5</v>
      </c>
      <c r="S6" s="13">
        <f aca="true" t="shared" si="0" ref="S6:S13">W6/X6</f>
        <v>8.408179523764435</v>
      </c>
      <c r="T6" s="13"/>
      <c r="U6" s="3" t="s">
        <v>209</v>
      </c>
      <c r="V6" s="2"/>
      <c r="W6" s="31">
        <f>BETAINV(0.95,Q6,R6)</f>
        <v>0.009593486785888672</v>
      </c>
      <c r="X6" s="31">
        <f>BETAINV(0.5,Q6,R6)</f>
        <v>0.0011409707367420197</v>
      </c>
      <c r="Z6" s="31">
        <f>BETAINV(0.95,M6,N6)</f>
        <v>0.009516775608062744</v>
      </c>
      <c r="AA6" s="31">
        <f>BETAINV(0.5,M6,N6)</f>
        <v>0.0011318139731884003</v>
      </c>
      <c r="AC6" s="119">
        <v>39114</v>
      </c>
    </row>
    <row r="7" spans="1:29" ht="25.5" customHeight="1">
      <c r="A7" s="20" t="s">
        <v>184</v>
      </c>
      <c r="B7" s="20" t="s">
        <v>272</v>
      </c>
      <c r="C7" s="11">
        <v>0.0001</v>
      </c>
      <c r="D7" s="11" t="s">
        <v>291</v>
      </c>
      <c r="E7" s="19"/>
      <c r="F7" s="10"/>
      <c r="G7" s="10"/>
      <c r="H7" s="10"/>
      <c r="I7" s="12">
        <v>0.000215</v>
      </c>
      <c r="J7" s="3" t="s">
        <v>295</v>
      </c>
      <c r="K7" s="16" t="s">
        <v>615</v>
      </c>
      <c r="L7" s="12">
        <v>0.000215</v>
      </c>
      <c r="M7" s="96">
        <v>0.5</v>
      </c>
      <c r="N7" s="114">
        <f aca="true" t="shared" si="1" ref="N7:N41">M7*(1-L7)/L7</f>
        <v>2325.0813953488373</v>
      </c>
      <c r="O7" s="13">
        <f aca="true" t="shared" si="2" ref="O7:O37">Z7/AA7</f>
        <v>8.440844145336163</v>
      </c>
      <c r="P7" s="18">
        <v>0.0002</v>
      </c>
      <c r="Q7" s="17">
        <v>0.5</v>
      </c>
      <c r="R7" s="12">
        <f>Q7*(1-P7)/P7</f>
        <v>2499.5</v>
      </c>
      <c r="S7" s="13">
        <f t="shared" si="0"/>
        <v>8.441068646437461</v>
      </c>
      <c r="T7" s="13"/>
      <c r="U7" s="3" t="s">
        <v>209</v>
      </c>
      <c r="V7" s="2"/>
      <c r="W7" s="31">
        <f aca="true" t="shared" si="3" ref="W7:W41">BETAINV(0.95,Q7,R7)</f>
        <v>0.0007682256400585175</v>
      </c>
      <c r="X7" s="31">
        <f aca="true" t="shared" si="4" ref="X7:X41">BETAINV(0.5,Q7,R7)</f>
        <v>9.101047180593014E-05</v>
      </c>
      <c r="Z7" s="31">
        <f aca="true" t="shared" si="5" ref="Z7:Z41">BETAINV(0.95,M7,N7)</f>
        <v>0.000825837254524231</v>
      </c>
      <c r="AA7" s="31">
        <f aca="true" t="shared" si="6" ref="AA7:AA41">BETAINV(0.5,M7,N7)</f>
        <v>9.783823043107986E-05</v>
      </c>
      <c r="AC7" s="119">
        <v>39114</v>
      </c>
    </row>
    <row r="8" spans="1:29" ht="25.5" customHeight="1">
      <c r="A8" s="20" t="s">
        <v>233</v>
      </c>
      <c r="B8" s="20" t="s">
        <v>274</v>
      </c>
      <c r="C8" s="11">
        <v>0.0022</v>
      </c>
      <c r="D8" s="11" t="s">
        <v>291</v>
      </c>
      <c r="E8" s="19"/>
      <c r="F8" s="10"/>
      <c r="G8" s="10"/>
      <c r="H8" s="10"/>
      <c r="I8" s="12">
        <v>0.0022</v>
      </c>
      <c r="J8" s="3" t="s">
        <v>297</v>
      </c>
      <c r="K8" s="16" t="s">
        <v>615</v>
      </c>
      <c r="L8" s="12">
        <v>0.0022</v>
      </c>
      <c r="M8" s="96">
        <v>0.5</v>
      </c>
      <c r="N8" s="114">
        <f t="shared" si="1"/>
        <v>226.77272727272725</v>
      </c>
      <c r="O8" s="13">
        <f t="shared" si="2"/>
        <v>8.412455622344996</v>
      </c>
      <c r="P8" s="18">
        <v>0.002</v>
      </c>
      <c r="Q8" s="17">
        <v>0.5</v>
      </c>
      <c r="R8" s="12">
        <f>Q8*(1-P8)/P8</f>
        <v>249.5</v>
      </c>
      <c r="S8" s="13">
        <f t="shared" si="0"/>
        <v>8.415347232148326</v>
      </c>
      <c r="T8" s="13"/>
      <c r="U8" s="3" t="s">
        <v>209</v>
      </c>
      <c r="V8" s="2"/>
      <c r="W8" s="31">
        <f t="shared" si="3"/>
        <v>0.007676422595977783</v>
      </c>
      <c r="X8" s="31">
        <f t="shared" si="4"/>
        <v>0.0009121932089328766</v>
      </c>
      <c r="Z8" s="31">
        <f t="shared" si="5"/>
        <v>0.008443325757980347</v>
      </c>
      <c r="AA8" s="31">
        <f t="shared" si="6"/>
        <v>0.0010036695748567581</v>
      </c>
      <c r="AC8" s="119">
        <v>39114</v>
      </c>
    </row>
    <row r="9" spans="1:29" ht="51" customHeight="1">
      <c r="A9" s="20" t="s">
        <v>177</v>
      </c>
      <c r="B9" s="20" t="s">
        <v>273</v>
      </c>
      <c r="C9" s="11">
        <v>0.0241</v>
      </c>
      <c r="D9" s="11" t="s">
        <v>291</v>
      </c>
      <c r="E9" s="19"/>
      <c r="F9" s="10"/>
      <c r="G9" s="10"/>
      <c r="H9" s="10"/>
      <c r="I9" s="12">
        <v>0.0395</v>
      </c>
      <c r="J9" s="3" t="s">
        <v>306</v>
      </c>
      <c r="K9" s="16" t="s">
        <v>520</v>
      </c>
      <c r="L9" s="12">
        <f>I9/2</f>
        <v>0.01975</v>
      </c>
      <c r="M9" s="96">
        <v>0.5</v>
      </c>
      <c r="N9" s="114">
        <f t="shared" si="1"/>
        <v>24.81645569620253</v>
      </c>
      <c r="O9" s="13">
        <f t="shared" si="2"/>
        <v>8.159514678014991</v>
      </c>
      <c r="P9" s="18">
        <v>0.02</v>
      </c>
      <c r="Q9" s="17">
        <v>0.5</v>
      </c>
      <c r="R9" s="12">
        <f aca="true" t="shared" si="7" ref="R9:R41">Q9*(1-P9)/P9</f>
        <v>24.5</v>
      </c>
      <c r="S9" s="13">
        <f t="shared" si="0"/>
        <v>8.155886277589433</v>
      </c>
      <c r="T9" s="3" t="s">
        <v>564</v>
      </c>
      <c r="U9" s="3" t="s">
        <v>209</v>
      </c>
      <c r="V9" s="2"/>
      <c r="W9" s="31">
        <f t="shared" si="3"/>
        <v>0.0761408805847168</v>
      </c>
      <c r="X9" s="31">
        <f t="shared" si="4"/>
        <v>0.009335696697235107</v>
      </c>
      <c r="Z9" s="31">
        <f t="shared" si="5"/>
        <v>0.07519817352294922</v>
      </c>
      <c r="AA9" s="31">
        <f t="shared" si="6"/>
        <v>0.009216010570526123</v>
      </c>
      <c r="AC9" s="119">
        <v>39114</v>
      </c>
    </row>
    <row r="10" spans="1:29" ht="25.5" customHeight="1">
      <c r="A10" s="20" t="s">
        <v>181</v>
      </c>
      <c r="B10" s="20" t="s">
        <v>275</v>
      </c>
      <c r="C10" s="11">
        <v>0.002</v>
      </c>
      <c r="D10" s="11" t="s">
        <v>291</v>
      </c>
      <c r="E10" s="19"/>
      <c r="F10" s="10"/>
      <c r="G10" s="10"/>
      <c r="H10" s="10"/>
      <c r="I10" s="12">
        <v>0.00186</v>
      </c>
      <c r="J10" s="3" t="s">
        <v>299</v>
      </c>
      <c r="K10" s="16" t="s">
        <v>615</v>
      </c>
      <c r="L10" s="12">
        <v>0.00186</v>
      </c>
      <c r="M10" s="96">
        <v>0.5</v>
      </c>
      <c r="N10" s="114">
        <f t="shared" si="1"/>
        <v>268.31720430107526</v>
      </c>
      <c r="O10" s="13">
        <f t="shared" si="2"/>
        <v>8.417350362783507</v>
      </c>
      <c r="P10" s="18">
        <v>0.002</v>
      </c>
      <c r="Q10" s="17">
        <v>0.5</v>
      </c>
      <c r="R10" s="12">
        <f t="shared" si="7"/>
        <v>249.5</v>
      </c>
      <c r="S10" s="13">
        <f t="shared" si="0"/>
        <v>8.415347232148326</v>
      </c>
      <c r="T10" s="13"/>
      <c r="U10" s="3" t="s">
        <v>209</v>
      </c>
      <c r="V10" s="2"/>
      <c r="W10" s="31">
        <f t="shared" si="3"/>
        <v>0.007676422595977783</v>
      </c>
      <c r="X10" s="31">
        <f t="shared" si="4"/>
        <v>0.0009121932089328766</v>
      </c>
      <c r="Z10" s="31">
        <f t="shared" si="5"/>
        <v>0.0071395039558410645</v>
      </c>
      <c r="AA10" s="31">
        <f t="shared" si="6"/>
        <v>0.0008481889963150024</v>
      </c>
      <c r="AC10" s="119">
        <v>39114</v>
      </c>
    </row>
    <row r="11" spans="1:29" ht="51" customHeight="1">
      <c r="A11" s="20" t="s">
        <v>178</v>
      </c>
      <c r="B11" s="20" t="s">
        <v>276</v>
      </c>
      <c r="C11" s="11">
        <v>0.1</v>
      </c>
      <c r="D11" s="11" t="s">
        <v>291</v>
      </c>
      <c r="E11" s="19"/>
      <c r="F11" s="10"/>
      <c r="G11" s="10"/>
      <c r="H11" s="10"/>
      <c r="I11" s="12">
        <v>0.101</v>
      </c>
      <c r="J11" s="3" t="s">
        <v>300</v>
      </c>
      <c r="K11" s="16" t="s">
        <v>520</v>
      </c>
      <c r="L11" s="12">
        <v>0.05</v>
      </c>
      <c r="M11" s="96">
        <v>0.5</v>
      </c>
      <c r="N11" s="114">
        <f t="shared" si="1"/>
        <v>9.499999999999998</v>
      </c>
      <c r="O11" s="13">
        <f t="shared" si="2"/>
        <v>7.716484482204183</v>
      </c>
      <c r="P11" s="18">
        <v>0.05</v>
      </c>
      <c r="Q11" s="17">
        <v>0.5</v>
      </c>
      <c r="R11" s="12">
        <f t="shared" si="7"/>
        <v>9.499999999999998</v>
      </c>
      <c r="S11" s="13">
        <f t="shared" si="0"/>
        <v>7.716484482204183</v>
      </c>
      <c r="T11" s="3" t="s">
        <v>564</v>
      </c>
      <c r="U11" s="3" t="s">
        <v>209</v>
      </c>
      <c r="V11" s="2"/>
      <c r="W11" s="31">
        <f t="shared" si="3"/>
        <v>0.18736553192138672</v>
      </c>
      <c r="X11" s="31">
        <f t="shared" si="4"/>
        <v>0.024281203746795654</v>
      </c>
      <c r="Z11" s="31">
        <f t="shared" si="5"/>
        <v>0.18736553192138672</v>
      </c>
      <c r="AA11" s="31">
        <f t="shared" si="6"/>
        <v>0.024281203746795654</v>
      </c>
      <c r="AC11" s="119">
        <v>39114</v>
      </c>
    </row>
    <row r="12" spans="1:29" ht="25.5" customHeight="1">
      <c r="A12" s="20" t="s">
        <v>616</v>
      </c>
      <c r="B12" s="20" t="s">
        <v>277</v>
      </c>
      <c r="C12" s="11">
        <v>0.01</v>
      </c>
      <c r="D12" s="11" t="s">
        <v>292</v>
      </c>
      <c r="E12" s="19">
        <v>5</v>
      </c>
      <c r="F12" s="10">
        <v>33379</v>
      </c>
      <c r="G12" s="10">
        <v>5801</v>
      </c>
      <c r="H12" s="10">
        <v>7679019</v>
      </c>
      <c r="I12" s="82">
        <f>(F12+G12)/H12</f>
        <v>0.005102214228145548</v>
      </c>
      <c r="J12" s="3"/>
      <c r="K12" s="16" t="s">
        <v>505</v>
      </c>
      <c r="L12" s="12">
        <v>0.0097</v>
      </c>
      <c r="M12" s="96">
        <v>10.946</v>
      </c>
      <c r="N12" s="114">
        <f>M12*(1-L12)/L12</f>
        <v>1117.5076082474227</v>
      </c>
      <c r="O12" s="13">
        <f>Z12/AA12</f>
        <v>1.5872200881468772</v>
      </c>
      <c r="P12" s="18">
        <v>0.01</v>
      </c>
      <c r="Q12" s="17">
        <v>10</v>
      </c>
      <c r="R12" s="12">
        <f>Q12*(1-P12)/P12</f>
        <v>990</v>
      </c>
      <c r="S12" s="13">
        <f t="shared" si="0"/>
        <v>1.6194249551624587</v>
      </c>
      <c r="T12" s="12"/>
      <c r="U12" s="3" t="s">
        <v>207</v>
      </c>
      <c r="V12" s="2"/>
      <c r="W12" s="31">
        <f>BETAINV(0.95,Q12,R12)</f>
        <v>0.01566818356513977</v>
      </c>
      <c r="X12" s="31">
        <f>BETAINV(0.5,Q12,R12)</f>
        <v>0.009675152599811554</v>
      </c>
      <c r="Z12" s="31">
        <f t="shared" si="5"/>
        <v>0.01493862271308899</v>
      </c>
      <c r="AA12" s="31">
        <f t="shared" si="6"/>
        <v>0.00941181555390358</v>
      </c>
      <c r="AB12" s="3" t="s">
        <v>655</v>
      </c>
      <c r="AC12" s="119">
        <v>39114</v>
      </c>
    </row>
    <row r="13" spans="1:29" ht="25.5" customHeight="1">
      <c r="A13" s="20" t="s">
        <v>604</v>
      </c>
      <c r="B13" s="20" t="s">
        <v>752</v>
      </c>
      <c r="C13" s="11"/>
      <c r="D13" s="11" t="s">
        <v>292</v>
      </c>
      <c r="E13" s="19">
        <v>5</v>
      </c>
      <c r="F13" s="10"/>
      <c r="G13" s="10"/>
      <c r="H13" s="10"/>
      <c r="I13" s="82"/>
      <c r="J13" s="3"/>
      <c r="K13" s="16" t="s">
        <v>505</v>
      </c>
      <c r="L13" s="12">
        <v>0.0295</v>
      </c>
      <c r="M13" s="96">
        <v>6.134</v>
      </c>
      <c r="N13" s="114">
        <f>M13*(1-L13)/L13</f>
        <v>201.79820338983055</v>
      </c>
      <c r="O13" s="13">
        <f>Z13/AA13</f>
        <v>1.8205657606266363</v>
      </c>
      <c r="P13" s="18">
        <v>0.03</v>
      </c>
      <c r="Q13" s="17">
        <v>6</v>
      </c>
      <c r="R13" s="12">
        <f>Q13*(1-P13)/P13</f>
        <v>194.00000000000003</v>
      </c>
      <c r="S13" s="13">
        <f t="shared" si="0"/>
        <v>1.8315888178486956</v>
      </c>
      <c r="T13" s="12"/>
      <c r="U13" s="3"/>
      <c r="V13" s="2"/>
      <c r="W13" s="31">
        <f>BETAINV(0.95,Q13,R13)</f>
        <v>0.052100181579589844</v>
      </c>
      <c r="X13" s="31">
        <f>BETAINV(0.5,Q13,R13)</f>
        <v>0.028445348143577576</v>
      </c>
      <c r="Z13" s="31">
        <f t="shared" si="5"/>
        <v>0.05098104476928711</v>
      </c>
      <c r="AA13" s="31">
        <f t="shared" si="6"/>
        <v>0.02800285816192627</v>
      </c>
      <c r="AB13" s="3" t="s">
        <v>644</v>
      </c>
      <c r="AC13" s="119">
        <v>39114</v>
      </c>
    </row>
    <row r="14" spans="1:29" ht="25.5" customHeight="1">
      <c r="A14" s="20" t="s">
        <v>582</v>
      </c>
      <c r="B14" s="20" t="s">
        <v>584</v>
      </c>
      <c r="C14" s="11">
        <v>0.031</v>
      </c>
      <c r="D14" s="11" t="s">
        <v>292</v>
      </c>
      <c r="E14" s="19">
        <v>219</v>
      </c>
      <c r="F14" s="19">
        <v>70258.95358999979</v>
      </c>
      <c r="G14" s="19">
        <v>16671.853000000003</v>
      </c>
      <c r="H14" s="19">
        <v>9567549.15000001</v>
      </c>
      <c r="I14" s="82">
        <f>(F14+G14)/H14</f>
        <v>0.009086005749967816</v>
      </c>
      <c r="J14" s="3"/>
      <c r="K14" s="16" t="s">
        <v>505</v>
      </c>
      <c r="L14" s="12">
        <v>0.0134</v>
      </c>
      <c r="M14" s="91">
        <v>3.586</v>
      </c>
      <c r="N14" s="114">
        <f t="shared" si="1"/>
        <v>264.02594029850746</v>
      </c>
      <c r="O14" s="13">
        <f t="shared" si="2"/>
        <v>2.180708927417243</v>
      </c>
      <c r="P14" s="18">
        <v>0.012</v>
      </c>
      <c r="Q14" s="17">
        <v>4</v>
      </c>
      <c r="R14" s="12">
        <f t="shared" si="7"/>
        <v>329.3333333333333</v>
      </c>
      <c r="S14" s="13">
        <f aca="true" t="shared" si="8" ref="S14:S41">W14/X14</f>
        <v>2.0985880698040793</v>
      </c>
      <c r="T14" s="12"/>
      <c r="U14" s="3"/>
      <c r="V14" s="2"/>
      <c r="W14" s="31">
        <f t="shared" si="3"/>
        <v>0.023164570331573486</v>
      </c>
      <c r="X14" s="31">
        <f t="shared" si="4"/>
        <v>0.011038169264793396</v>
      </c>
      <c r="Z14" s="31">
        <f t="shared" si="5"/>
        <v>0.02662074565887451</v>
      </c>
      <c r="AA14" s="31">
        <f t="shared" si="6"/>
        <v>0.012207381427288055</v>
      </c>
      <c r="AB14" s="3" t="s">
        <v>656</v>
      </c>
      <c r="AC14" s="119">
        <v>39114</v>
      </c>
    </row>
    <row r="15" spans="1:29" ht="25.5" customHeight="1">
      <c r="A15" s="20" t="s">
        <v>583</v>
      </c>
      <c r="B15" s="20" t="s">
        <v>585</v>
      </c>
      <c r="C15" s="11"/>
      <c r="D15" s="11" t="s">
        <v>292</v>
      </c>
      <c r="E15" s="19">
        <v>8</v>
      </c>
      <c r="F15" s="19"/>
      <c r="G15" s="19"/>
      <c r="H15" s="19"/>
      <c r="I15" s="82"/>
      <c r="J15" s="3"/>
      <c r="K15" s="16" t="s">
        <v>505</v>
      </c>
      <c r="L15" s="12">
        <v>0.0133</v>
      </c>
      <c r="M15" s="91">
        <v>5.761</v>
      </c>
      <c r="N15" s="114">
        <f t="shared" si="1"/>
        <v>427.3968947368421</v>
      </c>
      <c r="O15" s="13">
        <f t="shared" si="2"/>
        <v>1.8660490161237406</v>
      </c>
      <c r="P15" s="18">
        <v>0.012</v>
      </c>
      <c r="Q15" s="17">
        <v>6</v>
      </c>
      <c r="R15" s="12">
        <f t="shared" si="7"/>
        <v>494</v>
      </c>
      <c r="S15" s="13">
        <f t="shared" si="8"/>
        <v>1.8451084870471013</v>
      </c>
      <c r="T15" s="12"/>
      <c r="U15" s="3"/>
      <c r="V15" s="2"/>
      <c r="W15" s="31">
        <f t="shared" si="3"/>
        <v>0.02095198631286621</v>
      </c>
      <c r="X15" s="31">
        <f t="shared" si="4"/>
        <v>0.01135542243719101</v>
      </c>
      <c r="Z15" s="31">
        <f t="shared" si="5"/>
        <v>0.02343413233757019</v>
      </c>
      <c r="AA15" s="31">
        <f t="shared" si="6"/>
        <v>0.01255815476179123</v>
      </c>
      <c r="AB15" s="3" t="s">
        <v>656</v>
      </c>
      <c r="AC15" s="119">
        <v>39114</v>
      </c>
    </row>
    <row r="16" spans="1:29" ht="25.5" customHeight="1">
      <c r="A16" s="20" t="s">
        <v>278</v>
      </c>
      <c r="B16" s="20" t="s">
        <v>279</v>
      </c>
      <c r="C16" s="11">
        <v>0.00055</v>
      </c>
      <c r="D16" s="11" t="s">
        <v>291</v>
      </c>
      <c r="E16" s="19"/>
      <c r="F16" s="10"/>
      <c r="G16" s="10"/>
      <c r="H16" s="10"/>
      <c r="I16" s="12">
        <v>0.000552</v>
      </c>
      <c r="J16" s="3" t="s">
        <v>302</v>
      </c>
      <c r="K16" s="16" t="s">
        <v>615</v>
      </c>
      <c r="L16" s="12">
        <v>0.000552</v>
      </c>
      <c r="M16" s="96">
        <v>0.5</v>
      </c>
      <c r="N16" s="114">
        <f t="shared" si="1"/>
        <v>905.2971014492754</v>
      </c>
      <c r="O16" s="13">
        <f t="shared" si="2"/>
        <v>8.436032657236142</v>
      </c>
      <c r="P16" s="18">
        <v>0.0006</v>
      </c>
      <c r="Q16" s="17">
        <v>0.5</v>
      </c>
      <c r="R16" s="12">
        <f t="shared" si="7"/>
        <v>832.8333333333334</v>
      </c>
      <c r="S16" s="13">
        <f t="shared" si="8"/>
        <v>8.435368861750783</v>
      </c>
      <c r="T16" s="12"/>
      <c r="U16" s="3" t="s">
        <v>209</v>
      </c>
      <c r="V16" s="2"/>
      <c r="W16" s="31">
        <f t="shared" si="3"/>
        <v>0.002304293215274811</v>
      </c>
      <c r="X16" s="31">
        <f t="shared" si="4"/>
        <v>0.0002731704153120518</v>
      </c>
      <c r="Z16" s="31">
        <f t="shared" si="5"/>
        <v>0.002119988203048706</v>
      </c>
      <c r="AA16" s="31">
        <f t="shared" si="6"/>
        <v>0.0002513015642762184</v>
      </c>
      <c r="AC16" s="119">
        <v>39114</v>
      </c>
    </row>
    <row r="17" spans="1:29" ht="25.5" customHeight="1">
      <c r="A17" s="20" t="s">
        <v>179</v>
      </c>
      <c r="B17" s="20" t="s">
        <v>280</v>
      </c>
      <c r="C17" s="11">
        <v>0.002</v>
      </c>
      <c r="D17" s="11" t="s">
        <v>291</v>
      </c>
      <c r="E17" s="19"/>
      <c r="F17" s="10"/>
      <c r="G17" s="10"/>
      <c r="H17" s="10"/>
      <c r="I17" s="12">
        <v>0.002</v>
      </c>
      <c r="J17" s="3" t="s">
        <v>303</v>
      </c>
      <c r="K17" s="16" t="s">
        <v>615</v>
      </c>
      <c r="L17" s="12">
        <f>I17</f>
        <v>0.002</v>
      </c>
      <c r="M17" s="96">
        <v>0.5</v>
      </c>
      <c r="N17" s="114">
        <f t="shared" si="1"/>
        <v>249.5</v>
      </c>
      <c r="O17" s="13">
        <f t="shared" si="2"/>
        <v>8.415347232148326</v>
      </c>
      <c r="P17" s="18">
        <v>0.002</v>
      </c>
      <c r="Q17" s="17">
        <v>0.5</v>
      </c>
      <c r="R17" s="12">
        <f t="shared" si="7"/>
        <v>249.5</v>
      </c>
      <c r="S17" s="13">
        <f t="shared" si="8"/>
        <v>8.415347232148326</v>
      </c>
      <c r="T17" s="12"/>
      <c r="U17" s="3" t="s">
        <v>209</v>
      </c>
      <c r="V17" s="2"/>
      <c r="W17" s="31">
        <f t="shared" si="3"/>
        <v>0.007676422595977783</v>
      </c>
      <c r="X17" s="31">
        <f t="shared" si="4"/>
        <v>0.0009121932089328766</v>
      </c>
      <c r="Z17" s="31">
        <f t="shared" si="5"/>
        <v>0.007676422595977783</v>
      </c>
      <c r="AA17" s="31">
        <f t="shared" si="6"/>
        <v>0.0009121932089328766</v>
      </c>
      <c r="AC17" s="119">
        <v>39114</v>
      </c>
    </row>
    <row r="18" spans="1:29" ht="25.5" customHeight="1">
      <c r="A18" s="20" t="s">
        <v>605</v>
      </c>
      <c r="B18" s="20" t="s">
        <v>606</v>
      </c>
      <c r="C18" s="11"/>
      <c r="D18" s="11" t="s">
        <v>292</v>
      </c>
      <c r="E18" s="19">
        <v>4</v>
      </c>
      <c r="F18" s="10"/>
      <c r="G18" s="10"/>
      <c r="H18" s="10"/>
      <c r="I18" s="12"/>
      <c r="J18" s="3"/>
      <c r="K18" s="16" t="s">
        <v>608</v>
      </c>
      <c r="L18" s="12">
        <v>0.016</v>
      </c>
      <c r="M18" s="96">
        <v>2.5</v>
      </c>
      <c r="N18" s="114">
        <f>M18*(1-L18)/L18</f>
        <v>153.75</v>
      </c>
      <c r="O18" s="13">
        <f>Z18/AA18</f>
        <v>2.516710640166062</v>
      </c>
      <c r="P18" s="18">
        <v>0.015</v>
      </c>
      <c r="Q18" s="17">
        <v>2.5</v>
      </c>
      <c r="R18" s="12">
        <f>Q18*(1-P18)/P18</f>
        <v>164.16666666666666</v>
      </c>
      <c r="S18" s="13">
        <f>W18/X18</f>
        <v>2.518424026613367</v>
      </c>
      <c r="T18" s="12" t="s">
        <v>607</v>
      </c>
      <c r="U18" s="3" t="s">
        <v>209</v>
      </c>
      <c r="V18" s="2"/>
      <c r="W18" s="31">
        <f>BETAINV(0.95,Q18,R18)</f>
        <v>0.03300756216049194</v>
      </c>
      <c r="X18" s="31">
        <f>BETAINV(0.5,Q18,R18)</f>
        <v>0.013106435537338257</v>
      </c>
      <c r="Z18" s="31">
        <f>BETAINV(0.95,M18,N18)</f>
        <v>0.035193443298339844</v>
      </c>
      <c r="AA18" s="31">
        <f>BETAINV(0.5,M18,N18)</f>
        <v>0.01398390531539917</v>
      </c>
      <c r="AB18" s="3" t="s">
        <v>644</v>
      </c>
      <c r="AC18" s="119">
        <v>39114</v>
      </c>
    </row>
    <row r="19" spans="1:29" ht="25.5" customHeight="1">
      <c r="A19" s="20" t="s">
        <v>609</v>
      </c>
      <c r="B19" s="20" t="s">
        <v>613</v>
      </c>
      <c r="C19" s="11"/>
      <c r="D19" s="11" t="s">
        <v>292</v>
      </c>
      <c r="E19" s="19">
        <v>53</v>
      </c>
      <c r="F19" s="10"/>
      <c r="G19" s="10"/>
      <c r="H19" s="10"/>
      <c r="I19" s="12"/>
      <c r="J19" s="3"/>
      <c r="K19" s="16" t="s">
        <v>505</v>
      </c>
      <c r="L19" s="12">
        <v>0.00865</v>
      </c>
      <c r="M19" s="96">
        <v>1</v>
      </c>
      <c r="N19" s="114">
        <f>M19*(1-L19)/L19</f>
        <v>114.60693641618496</v>
      </c>
      <c r="O19" s="13">
        <f>Z19/AA19</f>
        <v>4.2788371242450305</v>
      </c>
      <c r="P19" s="18">
        <v>0.009</v>
      </c>
      <c r="Q19" s="17">
        <v>1</v>
      </c>
      <c r="R19" s="12">
        <f>Q19*(1-P19)/P19</f>
        <v>110.11111111111111</v>
      </c>
      <c r="S19" s="13">
        <f>W19/X19</f>
        <v>4.277107346564653</v>
      </c>
      <c r="T19" s="12" t="s">
        <v>610</v>
      </c>
      <c r="U19" s="3"/>
      <c r="V19" s="2"/>
      <c r="W19" s="31">
        <f>BETAINV(0.95,Q19,R19)</f>
        <v>0.026839733123779297</v>
      </c>
      <c r="X19" s="31">
        <f>BETAINV(0.5,Q19,R19)</f>
        <v>0.006275206804275513</v>
      </c>
      <c r="Z19" s="31">
        <f>BETAINV(0.95,M19,N19)</f>
        <v>0.025800466537475586</v>
      </c>
      <c r="AA19" s="31">
        <f>BETAINV(0.5,M19,N19)</f>
        <v>0.006029784679412842</v>
      </c>
      <c r="AB19" s="3" t="s">
        <v>644</v>
      </c>
      <c r="AC19" s="119">
        <v>39114</v>
      </c>
    </row>
    <row r="20" spans="1:29" ht="25.5" customHeight="1">
      <c r="A20" s="20" t="s">
        <v>611</v>
      </c>
      <c r="B20" s="20" t="s">
        <v>614</v>
      </c>
      <c r="C20" s="11"/>
      <c r="D20" s="11" t="s">
        <v>292</v>
      </c>
      <c r="E20" s="19">
        <v>38</v>
      </c>
      <c r="F20" s="10"/>
      <c r="G20" s="10"/>
      <c r="H20" s="10"/>
      <c r="I20" s="12"/>
      <c r="J20" s="3"/>
      <c r="K20" s="16" t="s">
        <v>505</v>
      </c>
      <c r="L20" s="12">
        <v>0.00363</v>
      </c>
      <c r="M20" s="96">
        <v>1.747</v>
      </c>
      <c r="N20" s="114">
        <f>M20*(1-L20)/L20</f>
        <v>479.520217630854</v>
      </c>
      <c r="O20" s="13">
        <f>Z20/AA20</f>
        <v>3.022803362238415</v>
      </c>
      <c r="P20" s="18">
        <v>0.004</v>
      </c>
      <c r="Q20" s="17">
        <v>1.5</v>
      </c>
      <c r="R20" s="12">
        <f>Q20*(1-P20)/P20</f>
        <v>373.5</v>
      </c>
      <c r="S20" s="13">
        <f>W20/X20</f>
        <v>3.290961730700315</v>
      </c>
      <c r="T20" s="12" t="s">
        <v>612</v>
      </c>
      <c r="U20" s="3"/>
      <c r="V20" s="2"/>
      <c r="W20" s="31">
        <f>BETAINV(0.95,Q20,R20)</f>
        <v>0.01040002703666687</v>
      </c>
      <c r="X20" s="31">
        <f>BETAINV(0.5,Q20,R20)</f>
        <v>0.0031601786613464355</v>
      </c>
      <c r="Z20" s="31">
        <f>BETAINV(0.95,M20,N20)</f>
        <v>0.00897720456123352</v>
      </c>
      <c r="AA20" s="31">
        <f>BETAINV(0.5,M20,N20)</f>
        <v>0.002969827502965927</v>
      </c>
      <c r="AB20" s="3" t="s">
        <v>644</v>
      </c>
      <c r="AC20" s="119">
        <v>39114</v>
      </c>
    </row>
    <row r="21" spans="1:29" ht="38.25" customHeight="1">
      <c r="A21" s="20" t="s">
        <v>311</v>
      </c>
      <c r="B21" s="20" t="s">
        <v>312</v>
      </c>
      <c r="C21" s="11"/>
      <c r="D21" s="11" t="s">
        <v>298</v>
      </c>
      <c r="E21" s="19"/>
      <c r="F21" s="10">
        <v>2138</v>
      </c>
      <c r="G21" s="10">
        <v>12</v>
      </c>
      <c r="H21" s="10">
        <v>240344</v>
      </c>
      <c r="I21" s="82">
        <f>(F21+G21)/H21</f>
        <v>0.008945511433611823</v>
      </c>
      <c r="J21" s="3" t="s">
        <v>25</v>
      </c>
      <c r="K21" s="16" t="s">
        <v>569</v>
      </c>
      <c r="L21" s="12">
        <v>0.00897444627201934</v>
      </c>
      <c r="M21" s="96">
        <v>2.5</v>
      </c>
      <c r="N21" s="114">
        <f t="shared" si="1"/>
        <v>276.0687188071465</v>
      </c>
      <c r="O21" s="13">
        <f t="shared" si="2"/>
        <v>2.52874123278676</v>
      </c>
      <c r="P21" s="18">
        <v>0.009</v>
      </c>
      <c r="Q21" s="17">
        <v>2.5</v>
      </c>
      <c r="R21" s="12">
        <f t="shared" si="7"/>
        <v>275.2777777777778</v>
      </c>
      <c r="S21" s="13">
        <f t="shared" si="8"/>
        <v>2.5286959723436095</v>
      </c>
      <c r="T21" s="12" t="s">
        <v>728</v>
      </c>
      <c r="U21" s="3"/>
      <c r="V21" s="2"/>
      <c r="W21" s="31">
        <f t="shared" si="3"/>
        <v>0.019853651523590088</v>
      </c>
      <c r="X21" s="31">
        <f t="shared" si="4"/>
        <v>0.007851339876651764</v>
      </c>
      <c r="Z21" s="31">
        <f t="shared" si="5"/>
        <v>0.01979750394821167</v>
      </c>
      <c r="AA21" s="31">
        <f t="shared" si="6"/>
        <v>0.00782899558544159</v>
      </c>
      <c r="AC21" s="119">
        <v>39114</v>
      </c>
    </row>
    <row r="22" spans="1:29" ht="25.5" customHeight="1">
      <c r="A22" s="20" t="s">
        <v>570</v>
      </c>
      <c r="B22" s="20" t="s">
        <v>574</v>
      </c>
      <c r="C22" s="11">
        <v>0.0025</v>
      </c>
      <c r="D22" s="11" t="s">
        <v>292</v>
      </c>
      <c r="E22" s="19">
        <v>73</v>
      </c>
      <c r="F22" s="10"/>
      <c r="G22" s="10"/>
      <c r="H22" s="10"/>
      <c r="I22" s="12">
        <v>0.00547</v>
      </c>
      <c r="J22" s="3"/>
      <c r="K22" s="16" t="s">
        <v>505</v>
      </c>
      <c r="L22" s="12">
        <v>0.00723</v>
      </c>
      <c r="M22" s="96">
        <v>1</v>
      </c>
      <c r="N22" s="114">
        <f t="shared" si="1"/>
        <v>137.31258644536652</v>
      </c>
      <c r="O22" s="13">
        <f t="shared" si="2"/>
        <v>4.285917637466947</v>
      </c>
      <c r="P22" s="18">
        <v>0.007</v>
      </c>
      <c r="Q22" s="17">
        <v>1</v>
      </c>
      <c r="R22" s="12">
        <f t="shared" si="7"/>
        <v>141.85714285714286</v>
      </c>
      <c r="S22" s="13">
        <f t="shared" si="8"/>
        <v>4.2870716272813425</v>
      </c>
      <c r="T22" s="3" t="s">
        <v>576</v>
      </c>
      <c r="U22" s="3" t="s">
        <v>210</v>
      </c>
      <c r="V22" s="2"/>
      <c r="W22" s="31">
        <f t="shared" si="3"/>
        <v>0.020896553993225098</v>
      </c>
      <c r="X22" s="31">
        <f t="shared" si="4"/>
        <v>0.004874318838119507</v>
      </c>
      <c r="Z22" s="31">
        <f t="shared" si="5"/>
        <v>0.02158057689666748</v>
      </c>
      <c r="AA22" s="31">
        <f t="shared" si="6"/>
        <v>0.005035229027271271</v>
      </c>
      <c r="AB22" s="3" t="s">
        <v>644</v>
      </c>
      <c r="AC22" s="119">
        <v>39114</v>
      </c>
    </row>
    <row r="23" spans="1:29" ht="25.5" customHeight="1">
      <c r="A23" s="20" t="s">
        <v>573</v>
      </c>
      <c r="B23" s="20" t="s">
        <v>575</v>
      </c>
      <c r="C23" s="11"/>
      <c r="D23" s="11" t="s">
        <v>292</v>
      </c>
      <c r="E23" s="19">
        <v>70</v>
      </c>
      <c r="F23" s="10"/>
      <c r="G23" s="10"/>
      <c r="H23" s="10"/>
      <c r="I23" s="12"/>
      <c r="J23" s="3"/>
      <c r="K23" s="16" t="s">
        <v>505</v>
      </c>
      <c r="L23" s="12">
        <v>0.00762</v>
      </c>
      <c r="M23" s="96">
        <v>3.759</v>
      </c>
      <c r="N23" s="114">
        <f t="shared" si="1"/>
        <v>489.54808661417326</v>
      </c>
      <c r="O23" s="13">
        <f t="shared" si="2"/>
        <v>2.1503121541982373</v>
      </c>
      <c r="P23" s="18">
        <v>0.008</v>
      </c>
      <c r="Q23" s="17">
        <v>4</v>
      </c>
      <c r="R23" s="12">
        <f t="shared" si="7"/>
        <v>496</v>
      </c>
      <c r="S23" s="13">
        <f t="shared" si="8"/>
        <v>2.102903481381367</v>
      </c>
      <c r="T23" s="3" t="s">
        <v>579</v>
      </c>
      <c r="U23" s="3"/>
      <c r="V23" s="2"/>
      <c r="W23" s="31">
        <f t="shared" si="3"/>
        <v>0.01546451449394226</v>
      </c>
      <c r="X23" s="31">
        <f t="shared" si="4"/>
        <v>0.007353886961936951</v>
      </c>
      <c r="Z23" s="31">
        <f t="shared" si="5"/>
        <v>0.014977693557739258</v>
      </c>
      <c r="AA23" s="31">
        <f t="shared" si="6"/>
        <v>0.006965357810258865</v>
      </c>
      <c r="AB23" s="3" t="s">
        <v>656</v>
      </c>
      <c r="AC23" s="119">
        <v>39114</v>
      </c>
    </row>
    <row r="24" spans="1:29" ht="25.5" customHeight="1">
      <c r="A24" s="20" t="s">
        <v>577</v>
      </c>
      <c r="B24" s="20" t="s">
        <v>578</v>
      </c>
      <c r="C24" s="11"/>
      <c r="D24" s="11" t="s">
        <v>292</v>
      </c>
      <c r="E24" s="19">
        <v>145</v>
      </c>
      <c r="F24" s="10"/>
      <c r="G24" s="10"/>
      <c r="H24" s="10"/>
      <c r="I24" s="12"/>
      <c r="J24" s="3"/>
      <c r="K24" s="16" t="s">
        <v>505</v>
      </c>
      <c r="L24" s="12">
        <v>0.00518</v>
      </c>
      <c r="M24" s="96">
        <v>2.748</v>
      </c>
      <c r="N24" s="114">
        <f t="shared" si="1"/>
        <v>527.7539305019307</v>
      </c>
      <c r="O24" s="13">
        <f t="shared" si="2"/>
        <v>2.433637532322161</v>
      </c>
      <c r="P24" s="18">
        <v>0.005</v>
      </c>
      <c r="Q24" s="17">
        <v>2.5</v>
      </c>
      <c r="R24" s="12">
        <f t="shared" si="7"/>
        <v>497.49999999999994</v>
      </c>
      <c r="S24" s="13">
        <f t="shared" si="8"/>
        <v>2.535539719656132</v>
      </c>
      <c r="T24" s="3" t="s">
        <v>580</v>
      </c>
      <c r="U24" s="3"/>
      <c r="V24" s="2"/>
      <c r="W24" s="31">
        <f t="shared" si="3"/>
        <v>0.011047929525375366</v>
      </c>
      <c r="X24" s="31">
        <f t="shared" si="4"/>
        <v>0.004357229918241501</v>
      </c>
      <c r="Z24" s="31">
        <f t="shared" si="5"/>
        <v>0.011128395795822144</v>
      </c>
      <c r="AA24" s="31">
        <f t="shared" si="6"/>
        <v>0.004572741687297821</v>
      </c>
      <c r="AB24" s="3" t="s">
        <v>656</v>
      </c>
      <c r="AC24" s="119">
        <v>39114</v>
      </c>
    </row>
    <row r="25" spans="1:29" ht="25.5" customHeight="1">
      <c r="A25" s="20" t="s">
        <v>267</v>
      </c>
      <c r="B25" s="20" t="s">
        <v>581</v>
      </c>
      <c r="C25" s="11" t="s">
        <v>188</v>
      </c>
      <c r="D25" s="11" t="s">
        <v>292</v>
      </c>
      <c r="E25" s="19">
        <v>6</v>
      </c>
      <c r="F25" s="10">
        <v>579</v>
      </c>
      <c r="G25" s="10">
        <v>43</v>
      </c>
      <c r="H25" s="10">
        <v>68380</v>
      </c>
      <c r="I25" s="82">
        <f>(F25+G25)/H25</f>
        <v>0.0090962269669494</v>
      </c>
      <c r="J25" s="3"/>
      <c r="K25" s="16" t="s">
        <v>505</v>
      </c>
      <c r="L25" s="12">
        <v>0.00586</v>
      </c>
      <c r="M25" s="96">
        <v>1.265</v>
      </c>
      <c r="N25" s="114">
        <f t="shared" si="1"/>
        <v>214.60530716723548</v>
      </c>
      <c r="O25" s="13">
        <f t="shared" si="2"/>
        <v>3.6470958925806296</v>
      </c>
      <c r="P25" s="18">
        <v>0.006</v>
      </c>
      <c r="Q25" s="17">
        <v>1.2</v>
      </c>
      <c r="R25" s="12">
        <f t="shared" si="7"/>
        <v>198.79999999999998</v>
      </c>
      <c r="S25" s="13">
        <f t="shared" si="8"/>
        <v>3.7747104595847745</v>
      </c>
      <c r="T25" s="12"/>
      <c r="U25" s="3" t="s">
        <v>268</v>
      </c>
      <c r="V25" s="2"/>
      <c r="W25" s="31">
        <f t="shared" si="3"/>
        <v>0.01681363582611084</v>
      </c>
      <c r="X25" s="31">
        <f t="shared" si="4"/>
        <v>0.004454284906387329</v>
      </c>
      <c r="Z25" s="31">
        <f t="shared" si="5"/>
        <v>0.016126811504364014</v>
      </c>
      <c r="AA25" s="31">
        <f t="shared" si="6"/>
        <v>0.004421822726726532</v>
      </c>
      <c r="AB25" s="3" t="s">
        <v>656</v>
      </c>
      <c r="AC25" s="119">
        <v>39114</v>
      </c>
    </row>
    <row r="26" spans="1:29" ht="51" customHeight="1">
      <c r="A26" s="20" t="s">
        <v>503</v>
      </c>
      <c r="B26" s="20" t="s">
        <v>504</v>
      </c>
      <c r="C26" s="11">
        <v>0.00076</v>
      </c>
      <c r="D26" s="11" t="s">
        <v>291</v>
      </c>
      <c r="E26" s="19"/>
      <c r="F26" s="10"/>
      <c r="G26" s="10"/>
      <c r="H26" s="10"/>
      <c r="I26" s="12">
        <v>0.026</v>
      </c>
      <c r="J26" s="3" t="s">
        <v>305</v>
      </c>
      <c r="K26" s="16" t="s">
        <v>520</v>
      </c>
      <c r="L26" s="12">
        <f>I26/2</f>
        <v>0.013</v>
      </c>
      <c r="M26" s="96">
        <v>0.5</v>
      </c>
      <c r="N26" s="114">
        <f>M26*(1-L26)/L26</f>
        <v>37.96153846153846</v>
      </c>
      <c r="O26" s="13">
        <f>Z26/AA26</f>
        <v>8.257192274716397</v>
      </c>
      <c r="P26" s="18">
        <v>0.012</v>
      </c>
      <c r="Q26" s="17">
        <v>0.5</v>
      </c>
      <c r="R26" s="12">
        <f>Q26*(1-P26)/P26</f>
        <v>41.166666666666664</v>
      </c>
      <c r="S26" s="13">
        <f>W26/X26</f>
        <v>8.271586620649614</v>
      </c>
      <c r="T26" s="3" t="s">
        <v>564</v>
      </c>
      <c r="U26" s="3" t="s">
        <v>209</v>
      </c>
      <c r="V26" s="2"/>
      <c r="W26" s="31">
        <f>BETAINV(0.95,Q26,R26)</f>
        <v>0.04585576057434082</v>
      </c>
      <c r="X26" s="31">
        <f>BETAINV(0.5,Q26,R26)</f>
        <v>0.005543768405914307</v>
      </c>
      <c r="Z26" s="31">
        <f>BETAINV(0.95,M26,N26)</f>
        <v>0.049654483795166016</v>
      </c>
      <c r="AA26" s="31">
        <f>BETAINV(0.5,M26,N26)</f>
        <v>0.0060134828090667725</v>
      </c>
      <c r="AC26" s="119">
        <v>39114</v>
      </c>
    </row>
    <row r="27" spans="1:29" ht="25.5" customHeight="1">
      <c r="A27" s="20" t="s">
        <v>617</v>
      </c>
      <c r="B27" s="20" t="s">
        <v>281</v>
      </c>
      <c r="C27" s="11">
        <v>0.0011</v>
      </c>
      <c r="D27" s="11" t="s">
        <v>292</v>
      </c>
      <c r="E27" s="19">
        <v>122</v>
      </c>
      <c r="F27" s="10">
        <v>33379</v>
      </c>
      <c r="G27" s="10">
        <v>5801</v>
      </c>
      <c r="H27" s="10">
        <v>7679019</v>
      </c>
      <c r="I27" s="82">
        <f>(F27+G27)/H27</f>
        <v>0.005102214228145548</v>
      </c>
      <c r="J27" s="3"/>
      <c r="K27" s="16" t="s">
        <v>505</v>
      </c>
      <c r="L27" s="12">
        <v>0.00395</v>
      </c>
      <c r="M27" s="96">
        <v>2.387</v>
      </c>
      <c r="N27" s="114">
        <f t="shared" si="1"/>
        <v>601.9167974683544</v>
      </c>
      <c r="O27" s="13">
        <f t="shared" si="2"/>
        <v>2.590540796819176</v>
      </c>
      <c r="P27" s="18">
        <v>0.004</v>
      </c>
      <c r="Q27" s="17">
        <v>2.5</v>
      </c>
      <c r="R27" s="12">
        <f t="shared" si="7"/>
        <v>622.5</v>
      </c>
      <c r="S27" s="13">
        <f t="shared" si="8"/>
        <v>2.5372501229341715</v>
      </c>
      <c r="T27" s="12"/>
      <c r="U27" s="3" t="s">
        <v>207</v>
      </c>
      <c r="V27" s="2"/>
      <c r="W27" s="31">
        <f t="shared" si="3"/>
        <v>0.00884196162223816</v>
      </c>
      <c r="X27" s="31">
        <f t="shared" si="4"/>
        <v>0.003484860062599182</v>
      </c>
      <c r="Z27" s="31">
        <f t="shared" si="5"/>
        <v>0.008854329586029053</v>
      </c>
      <c r="AA27" s="31">
        <f t="shared" si="6"/>
        <v>0.0034179463982582092</v>
      </c>
      <c r="AB27" s="3" t="s">
        <v>655</v>
      </c>
      <c r="AC27" s="119">
        <v>39114</v>
      </c>
    </row>
    <row r="28" spans="1:29" ht="25.5" customHeight="1">
      <c r="A28" s="20" t="s">
        <v>587</v>
      </c>
      <c r="B28" s="14" t="s">
        <v>282</v>
      </c>
      <c r="C28" s="11">
        <v>0.0111</v>
      </c>
      <c r="D28" s="11" t="s">
        <v>292</v>
      </c>
      <c r="E28" s="19">
        <v>133</v>
      </c>
      <c r="F28" s="10"/>
      <c r="G28" s="10"/>
      <c r="H28" s="10"/>
      <c r="I28" s="12"/>
      <c r="J28" s="3"/>
      <c r="K28" s="16" t="s">
        <v>505</v>
      </c>
      <c r="L28" s="12">
        <v>0.00591</v>
      </c>
      <c r="M28" s="96">
        <v>1.288</v>
      </c>
      <c r="N28" s="114">
        <f t="shared" si="1"/>
        <v>216.6477021996616</v>
      </c>
      <c r="O28" s="13">
        <f t="shared" si="2"/>
        <v>3.605032968201638</v>
      </c>
      <c r="P28" s="18">
        <v>0.006</v>
      </c>
      <c r="Q28" s="17">
        <v>1.2</v>
      </c>
      <c r="R28" s="12">
        <f t="shared" si="7"/>
        <v>198.79999999999998</v>
      </c>
      <c r="S28" s="13">
        <f t="shared" si="8"/>
        <v>3.7747104595847745</v>
      </c>
      <c r="T28" s="12"/>
      <c r="U28" s="3" t="s">
        <v>208</v>
      </c>
      <c r="V28" s="2"/>
      <c r="W28" s="31">
        <f t="shared" si="3"/>
        <v>0.01681363582611084</v>
      </c>
      <c r="X28" s="31">
        <f t="shared" si="4"/>
        <v>0.004454284906387329</v>
      </c>
      <c r="Z28" s="31">
        <f t="shared" si="5"/>
        <v>0.016163885593414307</v>
      </c>
      <c r="AA28" s="31">
        <f t="shared" si="6"/>
        <v>0.004483699798583984</v>
      </c>
      <c r="AB28" s="3" t="s">
        <v>656</v>
      </c>
      <c r="AC28" s="119">
        <v>39114</v>
      </c>
    </row>
    <row r="29" spans="1:29" ht="25.5" customHeight="1">
      <c r="A29" s="20" t="s">
        <v>618</v>
      </c>
      <c r="B29" s="20" t="s">
        <v>283</v>
      </c>
      <c r="C29" s="11">
        <v>0.05</v>
      </c>
      <c r="D29" s="11" t="s">
        <v>292</v>
      </c>
      <c r="E29" s="19">
        <v>8</v>
      </c>
      <c r="F29" s="10">
        <v>1887</v>
      </c>
      <c r="G29" s="19">
        <v>109.5</v>
      </c>
      <c r="H29" s="10">
        <v>294243</v>
      </c>
      <c r="I29" s="82">
        <f>(F29+G29)/H29</f>
        <v>0.006785208144288904</v>
      </c>
      <c r="J29" s="3"/>
      <c r="K29" s="16" t="s">
        <v>505</v>
      </c>
      <c r="L29" s="12">
        <v>0.0131</v>
      </c>
      <c r="M29" s="96">
        <v>1.537</v>
      </c>
      <c r="N29" s="114">
        <f t="shared" si="1"/>
        <v>115.79124427480915</v>
      </c>
      <c r="O29" s="13">
        <f t="shared" si="2"/>
        <v>3.21822445561139</v>
      </c>
      <c r="P29" s="18">
        <v>0.012</v>
      </c>
      <c r="Q29" s="17">
        <v>1.5</v>
      </c>
      <c r="R29" s="12">
        <f t="shared" si="7"/>
        <v>123.5</v>
      </c>
      <c r="S29" s="13">
        <f t="shared" si="8"/>
        <v>3.2669447259320283</v>
      </c>
      <c r="T29" s="12"/>
      <c r="U29" s="3"/>
      <c r="V29" s="2"/>
      <c r="W29" s="31">
        <f t="shared" si="3"/>
        <v>0.031081676483154297</v>
      </c>
      <c r="X29" s="31">
        <f t="shared" si="4"/>
        <v>0.009513989090919495</v>
      </c>
      <c r="Z29" s="31">
        <f t="shared" si="5"/>
        <v>0.03363943099975586</v>
      </c>
      <c r="AA29" s="31">
        <f t="shared" si="6"/>
        <v>0.010452792048454285</v>
      </c>
      <c r="AB29" s="3" t="s">
        <v>656</v>
      </c>
      <c r="AC29" s="119">
        <v>39114</v>
      </c>
    </row>
    <row r="30" spans="1:29" ht="25.5" customHeight="1">
      <c r="A30" s="20" t="s">
        <v>588</v>
      </c>
      <c r="B30" s="20" t="s">
        <v>586</v>
      </c>
      <c r="C30" s="11">
        <v>0.0019</v>
      </c>
      <c r="D30" s="11" t="s">
        <v>292</v>
      </c>
      <c r="E30" s="19">
        <v>196</v>
      </c>
      <c r="F30" s="10">
        <v>33134</v>
      </c>
      <c r="G30" s="10">
        <v>4640</v>
      </c>
      <c r="H30" s="10">
        <v>7494000</v>
      </c>
      <c r="I30" s="82">
        <f>(F30+G30)/H30</f>
        <v>0.005040565785962103</v>
      </c>
      <c r="J30" s="3"/>
      <c r="K30" s="16" t="s">
        <v>505</v>
      </c>
      <c r="L30" s="12">
        <v>0.00412</v>
      </c>
      <c r="M30" s="91">
        <v>2.348</v>
      </c>
      <c r="N30" s="114">
        <f t="shared" si="1"/>
        <v>567.5549126213591</v>
      </c>
      <c r="O30" s="13">
        <f t="shared" si="2"/>
        <v>2.609768310081937</v>
      </c>
      <c r="P30" s="18">
        <v>0.004</v>
      </c>
      <c r="Q30" s="17">
        <v>2.5</v>
      </c>
      <c r="R30" s="12">
        <f t="shared" si="7"/>
        <v>622.5</v>
      </c>
      <c r="S30" s="13">
        <f t="shared" si="8"/>
        <v>2.5372501229341715</v>
      </c>
      <c r="T30" s="12"/>
      <c r="U30" s="3"/>
      <c r="V30" s="2"/>
      <c r="W30" s="31">
        <f t="shared" si="3"/>
        <v>0.00884196162223816</v>
      </c>
      <c r="X30" s="31">
        <f t="shared" si="4"/>
        <v>0.003484860062599182</v>
      </c>
      <c r="Z30" s="31">
        <f t="shared" si="5"/>
        <v>0.009281128644943237</v>
      </c>
      <c r="AA30" s="31">
        <f t="shared" si="6"/>
        <v>0.0035563036799430847</v>
      </c>
      <c r="AB30" s="3" t="s">
        <v>656</v>
      </c>
      <c r="AC30" s="119">
        <v>39114</v>
      </c>
    </row>
    <row r="31" spans="1:29" ht="25.5" customHeight="1" hidden="1">
      <c r="A31" s="20" t="s">
        <v>589</v>
      </c>
      <c r="B31" s="20" t="s">
        <v>284</v>
      </c>
      <c r="C31" s="11">
        <v>0.0101</v>
      </c>
      <c r="D31" s="11" t="s">
        <v>298</v>
      </c>
      <c r="E31" s="19"/>
      <c r="F31" s="10">
        <v>22716</v>
      </c>
      <c r="G31" s="10">
        <v>3812</v>
      </c>
      <c r="H31" s="10">
        <v>3657028</v>
      </c>
      <c r="I31" s="82">
        <f>(F31+G31)/H31</f>
        <v>0.007253977820240917</v>
      </c>
      <c r="J31" s="3" t="s">
        <v>194</v>
      </c>
      <c r="K31" s="16" t="s">
        <v>301</v>
      </c>
      <c r="L31" s="12">
        <v>0.00767432723293547</v>
      </c>
      <c r="M31" s="91">
        <v>5.891990723390052</v>
      </c>
      <c r="N31" s="114">
        <f t="shared" si="1"/>
        <v>761.861395932281</v>
      </c>
      <c r="O31" s="13">
        <f t="shared" si="2"/>
        <v>1.858130223941366</v>
      </c>
      <c r="P31" s="18">
        <v>0.008</v>
      </c>
      <c r="Q31" s="17">
        <v>6</v>
      </c>
      <c r="R31" s="12">
        <f t="shared" si="7"/>
        <v>744</v>
      </c>
      <c r="S31" s="13">
        <f t="shared" si="8"/>
        <v>1.84810976600385</v>
      </c>
      <c r="T31" s="12"/>
      <c r="U31" s="3" t="s">
        <v>195</v>
      </c>
      <c r="V31" s="2"/>
      <c r="W31" s="31">
        <f t="shared" si="3"/>
        <v>0.013984501361846924</v>
      </c>
      <c r="X31" s="31">
        <f t="shared" si="4"/>
        <v>0.007566921412944794</v>
      </c>
      <c r="Z31" s="31">
        <f t="shared" si="5"/>
        <v>0.013473451137542725</v>
      </c>
      <c r="AA31" s="31">
        <f t="shared" si="6"/>
        <v>0.007251080125570297</v>
      </c>
      <c r="AC31" s="119">
        <v>39114</v>
      </c>
    </row>
    <row r="32" spans="1:29" ht="25.5" customHeight="1" hidden="1">
      <c r="A32" s="20" t="s">
        <v>590</v>
      </c>
      <c r="B32" s="20" t="s">
        <v>285</v>
      </c>
      <c r="C32" s="11">
        <v>0.00737</v>
      </c>
      <c r="D32" s="11" t="s">
        <v>298</v>
      </c>
      <c r="E32" s="19"/>
      <c r="F32" s="10">
        <v>34781</v>
      </c>
      <c r="G32" s="10">
        <v>3759</v>
      </c>
      <c r="H32" s="10">
        <v>6783002</v>
      </c>
      <c r="I32" s="82">
        <f>(F32+G32)/H32</f>
        <v>0.00568185001272298</v>
      </c>
      <c r="J32" s="3" t="s">
        <v>194</v>
      </c>
      <c r="K32" s="16" t="s">
        <v>301</v>
      </c>
      <c r="L32" s="12">
        <v>0.00598466270363355</v>
      </c>
      <c r="M32" s="91">
        <v>2.8173169193483</v>
      </c>
      <c r="N32" s="114">
        <f t="shared" si="1"/>
        <v>467.93885746584874</v>
      </c>
      <c r="O32" s="13">
        <f t="shared" si="2"/>
        <v>2.4071131300836432</v>
      </c>
      <c r="P32" s="18">
        <v>0.006</v>
      </c>
      <c r="Q32" s="17">
        <v>3</v>
      </c>
      <c r="R32" s="12">
        <f t="shared" si="7"/>
        <v>497</v>
      </c>
      <c r="S32" s="13">
        <f t="shared" si="8"/>
        <v>2.345866628267495</v>
      </c>
      <c r="T32" s="12"/>
      <c r="U32" s="3"/>
      <c r="V32" s="2"/>
      <c r="W32" s="31">
        <f t="shared" si="3"/>
        <v>0.01256263256072998</v>
      </c>
      <c r="X32" s="31">
        <f t="shared" si="4"/>
        <v>0.005355220288038254</v>
      </c>
      <c r="Z32" s="31">
        <f t="shared" si="5"/>
        <v>0.01275983452796936</v>
      </c>
      <c r="AA32" s="31">
        <f t="shared" si="6"/>
        <v>0.005300886929035187</v>
      </c>
      <c r="AC32" s="119">
        <v>39114</v>
      </c>
    </row>
    <row r="33" spans="1:29" ht="25.5" customHeight="1">
      <c r="A33" s="20" t="s">
        <v>591</v>
      </c>
      <c r="B33" s="14" t="s">
        <v>592</v>
      </c>
      <c r="C33" s="12">
        <v>0.0271</v>
      </c>
      <c r="D33" s="12" t="s">
        <v>292</v>
      </c>
      <c r="E33" s="16">
        <v>223</v>
      </c>
      <c r="F33" s="10"/>
      <c r="G33" s="10"/>
      <c r="H33" s="10"/>
      <c r="I33" s="12"/>
      <c r="J33" s="3"/>
      <c r="K33" s="16" t="s">
        <v>505</v>
      </c>
      <c r="L33" s="12">
        <v>0.013</v>
      </c>
      <c r="M33" s="96">
        <v>1</v>
      </c>
      <c r="N33" s="114">
        <f t="shared" si="1"/>
        <v>75.92307692307692</v>
      </c>
      <c r="O33" s="13">
        <f t="shared" si="2"/>
        <v>4.257141873357283</v>
      </c>
      <c r="P33" s="18">
        <v>0.012</v>
      </c>
      <c r="Q33" s="17">
        <v>1</v>
      </c>
      <c r="R33" s="12">
        <f t="shared" si="7"/>
        <v>82.33333333333333</v>
      </c>
      <c r="S33" s="13">
        <f t="shared" si="8"/>
        <v>4.262138200226092</v>
      </c>
      <c r="T33" s="12"/>
      <c r="U33" s="3" t="s">
        <v>208</v>
      </c>
      <c r="V33" s="2"/>
      <c r="W33" s="31">
        <f t="shared" si="3"/>
        <v>0.03573143482208252</v>
      </c>
      <c r="X33" s="31">
        <f t="shared" si="4"/>
        <v>0.008383452892303467</v>
      </c>
      <c r="Z33" s="31">
        <f t="shared" si="5"/>
        <v>0.03868913650512695</v>
      </c>
      <c r="AA33" s="31">
        <f t="shared" si="6"/>
        <v>0.009088054299354553</v>
      </c>
      <c r="AB33" s="3" t="s">
        <v>656</v>
      </c>
      <c r="AC33" s="119">
        <v>39114</v>
      </c>
    </row>
    <row r="34" spans="1:29" ht="25.5" customHeight="1">
      <c r="A34" s="20" t="s">
        <v>593</v>
      </c>
      <c r="B34" s="14" t="s">
        <v>594</v>
      </c>
      <c r="C34" s="12"/>
      <c r="D34" s="12" t="s">
        <v>292</v>
      </c>
      <c r="E34" s="16">
        <v>6</v>
      </c>
      <c r="F34" s="10"/>
      <c r="G34" s="10"/>
      <c r="H34" s="10"/>
      <c r="I34" s="12"/>
      <c r="J34" s="3"/>
      <c r="K34" s="16" t="s">
        <v>505</v>
      </c>
      <c r="L34" s="12">
        <v>0.0164</v>
      </c>
      <c r="M34" s="96">
        <v>6.278</v>
      </c>
      <c r="N34" s="114">
        <f t="shared" si="1"/>
        <v>376.5268780487804</v>
      </c>
      <c r="O34" s="13">
        <f t="shared" si="2"/>
        <v>1.8182571879210854</v>
      </c>
      <c r="P34" s="18">
        <v>0.015</v>
      </c>
      <c r="Q34" s="17">
        <v>6</v>
      </c>
      <c r="R34" s="12">
        <f t="shared" si="7"/>
        <v>394</v>
      </c>
      <c r="S34" s="13">
        <f t="shared" si="8"/>
        <v>1.8428593766889605</v>
      </c>
      <c r="T34" s="12"/>
      <c r="U34" s="3"/>
      <c r="V34" s="2"/>
      <c r="W34" s="31">
        <f t="shared" si="3"/>
        <v>0.02616676688194275</v>
      </c>
      <c r="X34" s="31">
        <f t="shared" si="4"/>
        <v>0.01419900357723236</v>
      </c>
      <c r="Z34" s="31">
        <f t="shared" si="5"/>
        <v>0.028301119804382324</v>
      </c>
      <c r="AA34" s="31">
        <f t="shared" si="6"/>
        <v>0.015564970672130585</v>
      </c>
      <c r="AB34" s="3" t="s">
        <v>644</v>
      </c>
      <c r="AC34" s="119">
        <v>39114</v>
      </c>
    </row>
    <row r="35" spans="1:29" ht="38.25" customHeight="1">
      <c r="A35" s="20" t="s">
        <v>595</v>
      </c>
      <c r="B35" s="14" t="s">
        <v>596</v>
      </c>
      <c r="C35" s="12"/>
      <c r="D35" s="12" t="s">
        <v>292</v>
      </c>
      <c r="E35" s="16">
        <v>8</v>
      </c>
      <c r="F35" s="10"/>
      <c r="G35" s="10"/>
      <c r="H35" s="10"/>
      <c r="I35" s="12"/>
      <c r="J35" s="3"/>
      <c r="K35" s="16" t="s">
        <v>505</v>
      </c>
      <c r="L35" s="12">
        <v>0.00576</v>
      </c>
      <c r="M35" s="96">
        <v>1.32</v>
      </c>
      <c r="N35" s="114">
        <f t="shared" si="1"/>
        <v>227.84666666666666</v>
      </c>
      <c r="O35" s="13">
        <f t="shared" si="2"/>
        <v>3.5500071527670203</v>
      </c>
      <c r="P35" s="18">
        <v>0.006</v>
      </c>
      <c r="Q35" s="17">
        <v>1.2</v>
      </c>
      <c r="R35" s="12">
        <f t="shared" si="7"/>
        <v>198.79999999999998</v>
      </c>
      <c r="S35" s="13">
        <f t="shared" si="8"/>
        <v>3.7747104595847745</v>
      </c>
      <c r="T35" s="12" t="s">
        <v>597</v>
      </c>
      <c r="U35" s="3"/>
      <c r="V35" s="2"/>
      <c r="W35" s="31">
        <f t="shared" si="3"/>
        <v>0.01681363582611084</v>
      </c>
      <c r="X35" s="31">
        <f t="shared" si="4"/>
        <v>0.004454284906387329</v>
      </c>
      <c r="Z35" s="31">
        <f t="shared" si="5"/>
        <v>0.015623271465301514</v>
      </c>
      <c r="AA35" s="31">
        <f t="shared" si="6"/>
        <v>0.004400912672281265</v>
      </c>
      <c r="AB35" s="3" t="s">
        <v>644</v>
      </c>
      <c r="AC35" s="119">
        <v>39114</v>
      </c>
    </row>
    <row r="36" spans="1:29" ht="25.5" customHeight="1">
      <c r="A36" s="20" t="s">
        <v>598</v>
      </c>
      <c r="B36" s="14" t="s">
        <v>286</v>
      </c>
      <c r="C36" s="12" t="s">
        <v>193</v>
      </c>
      <c r="D36" s="12" t="s">
        <v>292</v>
      </c>
      <c r="E36" s="16">
        <f>SUM(E27:E35)</f>
        <v>696</v>
      </c>
      <c r="F36" s="10"/>
      <c r="G36" s="10"/>
      <c r="H36" s="10"/>
      <c r="I36" s="12"/>
      <c r="J36" s="3" t="s">
        <v>599</v>
      </c>
      <c r="K36" s="16" t="s">
        <v>505</v>
      </c>
      <c r="L36" s="12">
        <v>0.00751</v>
      </c>
      <c r="M36" s="96">
        <v>1</v>
      </c>
      <c r="N36" s="114">
        <f t="shared" si="1"/>
        <v>132.15579227696404</v>
      </c>
      <c r="O36" s="13">
        <f t="shared" si="2"/>
        <v>4.284527266745381</v>
      </c>
      <c r="P36" s="18">
        <v>0.008</v>
      </c>
      <c r="Q36" s="17">
        <v>1</v>
      </c>
      <c r="R36" s="12">
        <f t="shared" si="7"/>
        <v>124</v>
      </c>
      <c r="S36" s="13">
        <f t="shared" si="8"/>
        <v>4.2820856222516275</v>
      </c>
      <c r="T36" s="12" t="s">
        <v>600</v>
      </c>
      <c r="U36" s="3"/>
      <c r="V36" s="2"/>
      <c r="W36" s="31">
        <f t="shared" si="3"/>
        <v>0.023869633674621582</v>
      </c>
      <c r="X36" s="31">
        <f t="shared" si="4"/>
        <v>0.0055743008852005005</v>
      </c>
      <c r="Z36" s="31">
        <f t="shared" si="5"/>
        <v>0.022413194179534912</v>
      </c>
      <c r="AA36" s="31">
        <f t="shared" si="6"/>
        <v>0.005231194198131561</v>
      </c>
      <c r="AB36" s="3" t="s">
        <v>644</v>
      </c>
      <c r="AC36" s="119">
        <v>39114</v>
      </c>
    </row>
    <row r="37" spans="1:29" ht="25.5" customHeight="1">
      <c r="A37" s="20" t="s">
        <v>180</v>
      </c>
      <c r="B37" s="20" t="s">
        <v>287</v>
      </c>
      <c r="C37" s="11">
        <v>0.0032</v>
      </c>
      <c r="D37" s="11" t="s">
        <v>291</v>
      </c>
      <c r="E37" s="19"/>
      <c r="F37" s="10"/>
      <c r="G37" s="10"/>
      <c r="H37" s="10"/>
      <c r="I37" s="12">
        <v>0.00319</v>
      </c>
      <c r="J37" s="3" t="s">
        <v>304</v>
      </c>
      <c r="K37" s="16" t="s">
        <v>615</v>
      </c>
      <c r="L37" s="12">
        <f>I37</f>
        <v>0.00319</v>
      </c>
      <c r="M37" s="96">
        <v>0.5</v>
      </c>
      <c r="N37" s="114">
        <f t="shared" si="1"/>
        <v>156.2398119122257</v>
      </c>
      <c r="O37" s="13">
        <f t="shared" si="2"/>
        <v>8.398309612862485</v>
      </c>
      <c r="P37" s="18">
        <v>0.003</v>
      </c>
      <c r="Q37" s="17">
        <v>0.5</v>
      </c>
      <c r="R37" s="12">
        <f t="shared" si="7"/>
        <v>166.16666666666666</v>
      </c>
      <c r="S37" s="13">
        <f t="shared" si="8"/>
        <v>8.401014772940476</v>
      </c>
      <c r="T37" s="12"/>
      <c r="U37" s="3" t="s">
        <v>209</v>
      </c>
      <c r="V37" s="2"/>
      <c r="W37" s="31">
        <f t="shared" si="3"/>
        <v>0.011509716510772705</v>
      </c>
      <c r="X37" s="31">
        <f t="shared" si="4"/>
        <v>0.0013700388371944427</v>
      </c>
      <c r="Z37" s="31">
        <f t="shared" si="5"/>
        <v>0.01223766803741455</v>
      </c>
      <c r="AA37" s="31">
        <f t="shared" si="6"/>
        <v>0.001457158476114273</v>
      </c>
      <c r="AC37" s="119">
        <v>39114</v>
      </c>
    </row>
    <row r="38" spans="1:29" ht="25.5" customHeight="1">
      <c r="A38" s="20" t="s">
        <v>309</v>
      </c>
      <c r="B38" s="20" t="s">
        <v>310</v>
      </c>
      <c r="C38" s="11"/>
      <c r="D38" s="11" t="s">
        <v>6</v>
      </c>
      <c r="E38" s="19"/>
      <c r="F38" s="10"/>
      <c r="G38" s="10"/>
      <c r="H38" s="10"/>
      <c r="I38" s="12">
        <v>0.058</v>
      </c>
      <c r="J38" s="3" t="s">
        <v>308</v>
      </c>
      <c r="K38" s="16" t="s">
        <v>506</v>
      </c>
      <c r="L38" s="12">
        <f>I38</f>
        <v>0.058</v>
      </c>
      <c r="M38" s="96">
        <v>0.5</v>
      </c>
      <c r="N38" s="114">
        <f t="shared" si="1"/>
        <v>8.120689655172413</v>
      </c>
      <c r="O38" s="13">
        <f>Z38/AA38</f>
        <v>7.598006950550601</v>
      </c>
      <c r="P38" s="18">
        <v>0.06</v>
      </c>
      <c r="Q38" s="17">
        <v>0.5</v>
      </c>
      <c r="R38" s="12">
        <f t="shared" si="7"/>
        <v>7.833333333333333</v>
      </c>
      <c r="S38" s="13">
        <f t="shared" si="8"/>
        <v>7.568295897422442</v>
      </c>
      <c r="T38" s="12"/>
      <c r="U38" s="3"/>
      <c r="V38" s="2"/>
      <c r="W38" s="31">
        <f t="shared" si="3"/>
        <v>0.2235088348388672</v>
      </c>
      <c r="X38" s="31">
        <f t="shared" si="4"/>
        <v>0.029532253742218018</v>
      </c>
      <c r="Z38" s="31">
        <f t="shared" si="5"/>
        <v>0.21632099151611328</v>
      </c>
      <c r="AA38" s="31">
        <f t="shared" si="6"/>
        <v>0.028470754623413086</v>
      </c>
      <c r="AC38" s="119">
        <v>39114</v>
      </c>
    </row>
    <row r="39" spans="1:29" ht="25.5" customHeight="1">
      <c r="A39" s="20" t="s">
        <v>601</v>
      </c>
      <c r="B39" s="20" t="s">
        <v>288</v>
      </c>
      <c r="C39" s="12">
        <v>0.008</v>
      </c>
      <c r="D39" s="12" t="s">
        <v>292</v>
      </c>
      <c r="E39" s="16">
        <v>69</v>
      </c>
      <c r="F39" s="10">
        <v>33379</v>
      </c>
      <c r="G39" s="10">
        <v>5801</v>
      </c>
      <c r="H39" s="10">
        <v>7679019</v>
      </c>
      <c r="I39" s="82">
        <f>(F39+G39)/H39</f>
        <v>0.005102214228145548</v>
      </c>
      <c r="J39" s="3"/>
      <c r="K39" s="16" t="s">
        <v>505</v>
      </c>
      <c r="L39" s="12">
        <v>0.00544</v>
      </c>
      <c r="M39" s="96">
        <v>2.177</v>
      </c>
      <c r="N39" s="114">
        <f>M39*(1-L39)/L39</f>
        <v>398.00682352941175</v>
      </c>
      <c r="O39" s="13">
        <f>Z39/AA39</f>
        <v>2.7009539556854074</v>
      </c>
      <c r="P39" s="18">
        <v>0.005</v>
      </c>
      <c r="Q39" s="17">
        <v>2</v>
      </c>
      <c r="R39" s="12">
        <f>Q39*(1-P39)/P39</f>
        <v>398</v>
      </c>
      <c r="S39" s="13">
        <f>W39/X39</f>
        <v>2.8156779529562135</v>
      </c>
      <c r="T39" s="12"/>
      <c r="U39" s="3" t="s">
        <v>207</v>
      </c>
      <c r="V39" s="2"/>
      <c r="W39" s="31">
        <f t="shared" si="3"/>
        <v>0.011833757162094116</v>
      </c>
      <c r="X39" s="31">
        <f t="shared" si="4"/>
        <v>0.004202809184789658</v>
      </c>
      <c r="Z39" s="31">
        <f t="shared" si="5"/>
        <v>0.012535691261291504</v>
      </c>
      <c r="AA39" s="31">
        <f t="shared" si="6"/>
        <v>0.0046412087976932526</v>
      </c>
      <c r="AB39" s="3" t="s">
        <v>655</v>
      </c>
      <c r="AC39" s="119">
        <v>39114</v>
      </c>
    </row>
    <row r="40" spans="1:29" ht="25.5" customHeight="1">
      <c r="A40" s="20" t="s">
        <v>602</v>
      </c>
      <c r="B40" s="20" t="s">
        <v>289</v>
      </c>
      <c r="C40" s="11">
        <v>0.023</v>
      </c>
      <c r="D40" s="11" t="s">
        <v>292</v>
      </c>
      <c r="E40" s="19">
        <v>24</v>
      </c>
      <c r="F40" s="10">
        <v>8946</v>
      </c>
      <c r="G40" s="10">
        <v>3552</v>
      </c>
      <c r="H40" s="10">
        <v>1127958</v>
      </c>
      <c r="I40" s="82">
        <f>(F40+G40)/H40</f>
        <v>0.011080199794673206</v>
      </c>
      <c r="J40" s="3"/>
      <c r="K40" s="16" t="s">
        <v>505</v>
      </c>
      <c r="L40" s="12">
        <v>0.013</v>
      </c>
      <c r="M40" s="91">
        <v>3.288</v>
      </c>
      <c r="N40" s="114">
        <f t="shared" si="1"/>
        <v>249.63507692307692</v>
      </c>
      <c r="O40" s="13">
        <f>Z40/AA40</f>
        <v>2.253407708335581</v>
      </c>
      <c r="P40" s="18">
        <v>0.012</v>
      </c>
      <c r="Q40" s="17">
        <v>3</v>
      </c>
      <c r="R40" s="12">
        <f t="shared" si="7"/>
        <v>247</v>
      </c>
      <c r="S40" s="13">
        <f t="shared" si="8"/>
        <v>2.3373279367977315</v>
      </c>
      <c r="T40" s="12"/>
      <c r="U40" s="3"/>
      <c r="V40" s="2"/>
      <c r="W40" s="31">
        <f t="shared" si="3"/>
        <v>0.02506709098815918</v>
      </c>
      <c r="X40" s="31">
        <f t="shared" si="4"/>
        <v>0.010724678635597229</v>
      </c>
      <c r="Z40" s="31">
        <f t="shared" si="5"/>
        <v>0.026453375816345215</v>
      </c>
      <c r="AA40" s="31">
        <f t="shared" si="6"/>
        <v>0.011739276349544525</v>
      </c>
      <c r="AB40" s="3" t="s">
        <v>644</v>
      </c>
      <c r="AC40" s="119">
        <v>39114</v>
      </c>
    </row>
    <row r="41" spans="1:29" ht="25.5" customHeight="1">
      <c r="A41" s="37" t="s">
        <v>603</v>
      </c>
      <c r="B41" s="37" t="s">
        <v>290</v>
      </c>
      <c r="C41" s="7">
        <v>0.011</v>
      </c>
      <c r="D41" s="7" t="s">
        <v>292</v>
      </c>
      <c r="E41" s="23">
        <v>30</v>
      </c>
      <c r="F41" s="5">
        <v>11458</v>
      </c>
      <c r="G41" s="5">
        <v>3598</v>
      </c>
      <c r="H41" s="5">
        <v>1181880</v>
      </c>
      <c r="I41" s="117">
        <f>(F41+G41)/H41</f>
        <v>0.012739025958642163</v>
      </c>
      <c r="J41" s="5"/>
      <c r="K41" s="23" t="s">
        <v>505</v>
      </c>
      <c r="L41" s="7">
        <v>0.0107</v>
      </c>
      <c r="M41" s="93">
        <v>4.703</v>
      </c>
      <c r="N41" s="115">
        <f t="shared" si="1"/>
        <v>434.8297102803739</v>
      </c>
      <c r="O41" s="22">
        <f>Z41/AA41</f>
        <v>1.9887288104551908</v>
      </c>
      <c r="P41" s="9">
        <v>0.01</v>
      </c>
      <c r="Q41" s="8">
        <v>5</v>
      </c>
      <c r="R41" s="7">
        <f t="shared" si="7"/>
        <v>495</v>
      </c>
      <c r="S41" s="22">
        <f t="shared" si="8"/>
        <v>1.950894699029714</v>
      </c>
      <c r="T41" s="7"/>
      <c r="U41" s="5"/>
      <c r="V41" s="2"/>
      <c r="W41" s="31">
        <f t="shared" si="3"/>
        <v>0.018249154090881348</v>
      </c>
      <c r="X41" s="31">
        <f t="shared" si="4"/>
        <v>0.009354248642921448</v>
      </c>
      <c r="Z41" s="31">
        <f t="shared" si="5"/>
        <v>0.019821643829345703</v>
      </c>
      <c r="AA41" s="31">
        <f t="shared" si="6"/>
        <v>0.00996699184179306</v>
      </c>
      <c r="AB41" s="3" t="s">
        <v>644</v>
      </c>
      <c r="AC41" s="120">
        <v>39114</v>
      </c>
    </row>
    <row r="42" spans="1:32" s="14" customFormat="1" ht="51" customHeight="1">
      <c r="A42" s="147" t="s">
        <v>753</v>
      </c>
      <c r="B42" s="147"/>
      <c r="C42" s="147"/>
      <c r="D42" s="147"/>
      <c r="E42" s="147"/>
      <c r="F42" s="147"/>
      <c r="G42" s="147"/>
      <c r="H42" s="147"/>
      <c r="I42" s="147"/>
      <c r="J42" s="147"/>
      <c r="K42" s="147"/>
      <c r="L42" s="147"/>
      <c r="M42" s="147"/>
      <c r="N42" s="147"/>
      <c r="O42" s="147"/>
      <c r="P42" s="147"/>
      <c r="Q42" s="147"/>
      <c r="R42" s="147"/>
      <c r="S42" s="147"/>
      <c r="T42" s="147"/>
      <c r="U42" s="30"/>
      <c r="V42" s="30"/>
      <c r="W42" s="30"/>
      <c r="X42" s="30"/>
      <c r="Y42" s="30"/>
      <c r="Z42" s="30"/>
      <c r="AA42" s="30"/>
      <c r="AB42" s="3"/>
      <c r="AC42" s="30"/>
      <c r="AD42" s="30"/>
      <c r="AE42" s="30"/>
      <c r="AF42" s="30"/>
    </row>
    <row r="43" spans="1:5" ht="12.75" hidden="1">
      <c r="A43" s="81" t="s">
        <v>23</v>
      </c>
      <c r="B43" s="30"/>
      <c r="D43" s="30"/>
      <c r="E43" s="70"/>
    </row>
    <row r="44" spans="1:5" ht="12.75" hidden="1">
      <c r="A44" s="30" t="s">
        <v>24</v>
      </c>
      <c r="B44" s="30"/>
      <c r="D44" s="30"/>
      <c r="E44" s="70"/>
    </row>
    <row r="45" spans="1:20" ht="25.5" customHeight="1">
      <c r="A45" s="132" t="s">
        <v>754</v>
      </c>
      <c r="B45" s="132"/>
      <c r="C45" s="132"/>
      <c r="D45" s="132"/>
      <c r="E45" s="132"/>
      <c r="F45" s="132"/>
      <c r="G45" s="132"/>
      <c r="H45" s="132"/>
      <c r="I45" s="132"/>
      <c r="J45" s="132"/>
      <c r="K45" s="132"/>
      <c r="L45" s="132"/>
      <c r="M45" s="132"/>
      <c r="N45" s="132"/>
      <c r="O45" s="132"/>
      <c r="P45" s="132"/>
      <c r="Q45" s="132"/>
      <c r="R45" s="132"/>
      <c r="S45" s="132"/>
      <c r="T45" s="132"/>
    </row>
    <row r="46" spans="1:20" ht="12.75">
      <c r="A46" s="132" t="s">
        <v>751</v>
      </c>
      <c r="B46" s="132"/>
      <c r="C46" s="132"/>
      <c r="D46" s="132"/>
      <c r="E46" s="132"/>
      <c r="F46" s="132"/>
      <c r="G46" s="132"/>
      <c r="H46" s="132"/>
      <c r="I46" s="132"/>
      <c r="J46" s="132"/>
      <c r="K46" s="132"/>
      <c r="L46" s="132"/>
      <c r="M46" s="132"/>
      <c r="N46" s="132"/>
      <c r="O46" s="132"/>
      <c r="P46" s="132"/>
      <c r="Q46" s="132"/>
      <c r="R46" s="132"/>
      <c r="S46" s="132"/>
      <c r="T46" s="132"/>
    </row>
    <row r="47" spans="1:20" ht="12.75">
      <c r="A47" s="144" t="s">
        <v>738</v>
      </c>
      <c r="B47" s="145"/>
      <c r="C47" s="145"/>
      <c r="D47" s="145"/>
      <c r="E47" s="145"/>
      <c r="F47" s="145"/>
      <c r="G47" s="145"/>
      <c r="H47" s="145"/>
      <c r="I47" s="145"/>
      <c r="J47" s="145"/>
      <c r="K47" s="145"/>
      <c r="L47" s="145"/>
      <c r="M47" s="145"/>
      <c r="N47" s="145"/>
      <c r="O47" s="145"/>
      <c r="P47" s="145"/>
      <c r="Q47" s="145"/>
      <c r="R47" s="145"/>
      <c r="S47" s="145"/>
      <c r="T47" s="145"/>
    </row>
    <row r="48" spans="1:20" ht="12.75">
      <c r="A48" s="144" t="s">
        <v>4</v>
      </c>
      <c r="B48" s="146"/>
      <c r="C48" s="146"/>
      <c r="D48" s="146"/>
      <c r="E48" s="146"/>
      <c r="F48" s="146"/>
      <c r="G48" s="146"/>
      <c r="H48" s="146"/>
      <c r="I48" s="146"/>
      <c r="J48" s="146"/>
      <c r="K48" s="146"/>
      <c r="L48" s="146"/>
      <c r="M48" s="146"/>
      <c r="N48" s="146"/>
      <c r="O48" s="146"/>
      <c r="P48" s="146"/>
      <c r="Q48" s="146"/>
      <c r="R48" s="146"/>
      <c r="S48" s="146"/>
      <c r="T48" s="146"/>
    </row>
  </sheetData>
  <mergeCells count="13">
    <mergeCell ref="AC4:AC5"/>
    <mergeCell ref="A48:T48"/>
    <mergeCell ref="A42:T42"/>
    <mergeCell ref="K4:R4"/>
    <mergeCell ref="D4:D5"/>
    <mergeCell ref="A4:A5"/>
    <mergeCell ref="B4:B5"/>
    <mergeCell ref="E4:J4"/>
    <mergeCell ref="T4:T5"/>
    <mergeCell ref="A46:T46"/>
    <mergeCell ref="A47:T47"/>
    <mergeCell ref="AB4:AB5"/>
    <mergeCell ref="A45:T45"/>
  </mergeCells>
  <printOptions/>
  <pageMargins left="0.75" right="0.75" top="1" bottom="1" header="0.5" footer="0.5"/>
  <pageSetup fitToHeight="2" fitToWidth="1" horizontalDpi="600" verticalDpi="600" orientation="landscape" scale="61" r:id="rId1"/>
  <rowBreaks count="1" manualBreakCount="1">
    <brk id="26" max="28" man="1"/>
  </rowBreaks>
  <colBreaks count="1" manualBreakCount="1">
    <brk id="24" max="65535" man="1"/>
  </colBreaks>
</worksheet>
</file>

<file path=xl/worksheets/sheet3.xml><?xml version="1.0" encoding="utf-8"?>
<worksheet xmlns="http://schemas.openxmlformats.org/spreadsheetml/2006/main" xmlns:r="http://schemas.openxmlformats.org/officeDocument/2006/relationships">
  <dimension ref="A1:AN31"/>
  <sheetViews>
    <sheetView zoomScale="75" zoomScaleNormal="75" zoomScaleSheetLayoutView="50" workbookViewId="0" topLeftCell="A1">
      <selection activeCell="A2" sqref="A2"/>
    </sheetView>
  </sheetViews>
  <sheetFormatPr defaultColWidth="9.140625" defaultRowHeight="12.75"/>
  <cols>
    <col min="1" max="1" width="14.421875" style="14" customWidth="1"/>
    <col min="2" max="2" width="9.421875" style="14" hidden="1" customWidth="1"/>
    <col min="3" max="3" width="26.140625" style="14" customWidth="1"/>
    <col min="4" max="4" width="8.140625" style="14" hidden="1" customWidth="1"/>
    <col min="5" max="5" width="6.57421875" style="14" hidden="1" customWidth="1"/>
    <col min="6" max="6" width="8.57421875" style="14" customWidth="1"/>
    <col min="7" max="7" width="7.8515625" style="14" bestFit="1" customWidth="1"/>
    <col min="8" max="8" width="9.140625" style="67" bestFit="1" customWidth="1"/>
    <col min="9" max="9" width="8.28125" style="67" hidden="1" customWidth="1"/>
    <col min="10" max="10" width="9.421875" style="67" hidden="1" customWidth="1"/>
    <col min="11" max="11" width="7.7109375" style="67" hidden="1" customWidth="1"/>
    <col min="12" max="12" width="22.57421875" style="3" hidden="1" customWidth="1"/>
    <col min="13" max="13" width="5.00390625" style="3" customWidth="1"/>
    <col min="14" max="14" width="19.57421875" style="3" bestFit="1" customWidth="1"/>
    <col min="15" max="15" width="9.7109375" style="33" bestFit="1" customWidth="1"/>
    <col min="16" max="16" width="6.421875" style="98" bestFit="1" customWidth="1"/>
    <col min="17" max="17" width="11.00390625" style="105" bestFit="1" customWidth="1"/>
    <col min="18" max="18" width="7.57421875" style="35" customWidth="1"/>
    <col min="19" max="19" width="10.140625" style="36" customWidth="1"/>
    <col min="20" max="20" width="8.421875" style="97" customWidth="1"/>
    <col min="21" max="21" width="8.8515625" style="33" customWidth="1"/>
    <col min="22" max="22" width="7.140625" style="33" customWidth="1"/>
    <col min="23" max="23" width="29.57421875" style="14" customWidth="1"/>
    <col min="24" max="24" width="32.140625" style="14" hidden="1" customWidth="1"/>
    <col min="25" max="25" width="9.140625" style="14" hidden="1" customWidth="1"/>
    <col min="26" max="26" width="10.8515625" style="14" hidden="1" customWidth="1"/>
    <col min="27" max="27" width="11.140625" style="14" hidden="1" customWidth="1"/>
    <col min="28" max="30" width="9.140625" style="14" hidden="1" customWidth="1"/>
    <col min="31" max="31" width="9.140625" style="14" customWidth="1"/>
    <col min="32" max="32" width="13.8515625" style="14" customWidth="1"/>
    <col min="33" max="33" width="12.421875" style="14" customWidth="1"/>
    <col min="34" max="34" width="22.7109375" style="14" customWidth="1"/>
    <col min="35" max="35" width="9.57421875" style="14" bestFit="1" customWidth="1"/>
    <col min="36" max="36" width="9.28125" style="14" bestFit="1" customWidth="1"/>
    <col min="37" max="37" width="11.00390625" style="105" bestFit="1" customWidth="1"/>
    <col min="38" max="39" width="11.140625" style="14" bestFit="1" customWidth="1"/>
    <col min="40" max="16384" width="9.140625" style="14" customWidth="1"/>
  </cols>
  <sheetData>
    <row r="1" ht="12.75">
      <c r="A1" s="30" t="s">
        <v>328</v>
      </c>
    </row>
    <row r="2" spans="1:2" ht="12.75">
      <c r="A2" s="64"/>
      <c r="B2" s="64"/>
    </row>
    <row r="4" spans="1:31" ht="25.5" customHeight="1">
      <c r="A4" s="129" t="s">
        <v>626</v>
      </c>
      <c r="B4" s="129" t="s">
        <v>313</v>
      </c>
      <c r="C4" s="129" t="s">
        <v>173</v>
      </c>
      <c r="D4" s="139" t="s">
        <v>192</v>
      </c>
      <c r="E4" s="139"/>
      <c r="F4" s="129" t="s">
        <v>175</v>
      </c>
      <c r="G4" s="131" t="s">
        <v>329</v>
      </c>
      <c r="H4" s="131"/>
      <c r="I4" s="131"/>
      <c r="J4" s="131"/>
      <c r="K4" s="131"/>
      <c r="L4" s="131"/>
      <c r="M4" s="5"/>
      <c r="N4" s="131" t="s">
        <v>745</v>
      </c>
      <c r="O4" s="148"/>
      <c r="P4" s="148"/>
      <c r="Q4" s="148"/>
      <c r="R4" s="148"/>
      <c r="S4" s="148"/>
      <c r="T4" s="148"/>
      <c r="U4" s="148"/>
      <c r="V4" s="148"/>
      <c r="W4" s="149" t="s">
        <v>659</v>
      </c>
      <c r="X4" s="3"/>
      <c r="AE4" s="129" t="s">
        <v>755</v>
      </c>
    </row>
    <row r="5" spans="1:37" s="54" customFormat="1" ht="39.75" customHeight="1">
      <c r="A5" s="131"/>
      <c r="B5" s="131"/>
      <c r="C5" s="131"/>
      <c r="D5" s="5" t="s">
        <v>174</v>
      </c>
      <c r="E5" s="5" t="s">
        <v>186</v>
      </c>
      <c r="F5" s="131"/>
      <c r="G5" s="5" t="s">
        <v>189</v>
      </c>
      <c r="H5" s="23" t="s">
        <v>190</v>
      </c>
      <c r="I5" s="23" t="s">
        <v>330</v>
      </c>
      <c r="J5" s="23" t="s">
        <v>331</v>
      </c>
      <c r="K5" s="23" t="s">
        <v>212</v>
      </c>
      <c r="L5" s="5" t="s">
        <v>175</v>
      </c>
      <c r="M5" s="5" t="s">
        <v>627</v>
      </c>
      <c r="N5" s="5" t="s">
        <v>733</v>
      </c>
      <c r="O5" s="7" t="s">
        <v>174</v>
      </c>
      <c r="P5" s="116" t="s">
        <v>518</v>
      </c>
      <c r="Q5" s="109" t="s">
        <v>519</v>
      </c>
      <c r="R5" s="7" t="s">
        <v>212</v>
      </c>
      <c r="S5" s="9" t="s">
        <v>742</v>
      </c>
      <c r="T5" s="22" t="s">
        <v>735</v>
      </c>
      <c r="U5" s="107" t="s">
        <v>736</v>
      </c>
      <c r="V5" s="7" t="s">
        <v>212</v>
      </c>
      <c r="W5" s="143"/>
      <c r="X5" s="38" t="s">
        <v>185</v>
      </c>
      <c r="Y5" s="39"/>
      <c r="Z5" s="40">
        <v>0.95</v>
      </c>
      <c r="AA5" s="39" t="s">
        <v>270</v>
      </c>
      <c r="AB5" s="39"/>
      <c r="AC5" s="40">
        <v>0.95</v>
      </c>
      <c r="AD5" s="39" t="s">
        <v>270</v>
      </c>
      <c r="AE5" s="141"/>
      <c r="AF5" s="39"/>
      <c r="AG5" s="39"/>
      <c r="AH5" s="39"/>
      <c r="AK5" s="106"/>
    </row>
    <row r="6" spans="1:31" ht="25.5" customHeight="1">
      <c r="A6" s="20" t="s">
        <v>314</v>
      </c>
      <c r="B6" s="20" t="s">
        <v>213</v>
      </c>
      <c r="C6" s="20" t="s">
        <v>222</v>
      </c>
      <c r="D6" s="11">
        <v>0.26</v>
      </c>
      <c r="E6" s="10" t="s">
        <v>187</v>
      </c>
      <c r="F6" s="10" t="s">
        <v>6</v>
      </c>
      <c r="G6" s="16">
        <v>6</v>
      </c>
      <c r="H6" s="16">
        <v>47</v>
      </c>
      <c r="I6" s="12">
        <f>G6/H6</f>
        <v>0.1276595744680851</v>
      </c>
      <c r="J6" s="12">
        <f>(G6+0.5)/(H6+1)</f>
        <v>0.13541666666666666</v>
      </c>
      <c r="K6" s="12" t="s">
        <v>188</v>
      </c>
      <c r="L6" s="3" t="s">
        <v>499</v>
      </c>
      <c r="M6" s="3" t="s">
        <v>562</v>
      </c>
      <c r="N6" s="3" t="s">
        <v>731</v>
      </c>
      <c r="O6" s="12">
        <f aca="true" t="shared" si="0" ref="O6:O20">J6</f>
        <v>0.13541666666666666</v>
      </c>
      <c r="P6" s="96">
        <v>6.5</v>
      </c>
      <c r="Q6" s="114">
        <f>P6*(1-O6)/O6</f>
        <v>41.50000000000001</v>
      </c>
      <c r="R6" s="13">
        <f>AC6/AD6</f>
        <v>1.7163453579819883</v>
      </c>
      <c r="S6" s="18">
        <v>0.15</v>
      </c>
      <c r="T6" s="13">
        <v>6</v>
      </c>
      <c r="U6" s="12">
        <f>T6*(1-S6)/S6</f>
        <v>34</v>
      </c>
      <c r="V6" s="13">
        <f>Z6/AA6</f>
        <v>1.7402715545830005</v>
      </c>
      <c r="Y6" s="32"/>
      <c r="Z6" s="28">
        <f>BETAINV(0.95,T6,U6)</f>
        <v>0.2508535385131836</v>
      </c>
      <c r="AA6" s="28">
        <f>BETAINV(0.5,T6,U6)</f>
        <v>0.14414620399475098</v>
      </c>
      <c r="AB6" s="32"/>
      <c r="AC6" s="28">
        <f>BETAINV(0.95,P6,Q6)</f>
        <v>0.22371292114257812</v>
      </c>
      <c r="AD6" s="28">
        <f>BETAINV(0.5,P6,Q6)</f>
        <v>0.13034260272979736</v>
      </c>
      <c r="AE6" s="119">
        <v>39114</v>
      </c>
    </row>
    <row r="7" spans="1:31" ht="25.5" customHeight="1">
      <c r="A7" s="20" t="s">
        <v>318</v>
      </c>
      <c r="B7" s="20" t="s">
        <v>214</v>
      </c>
      <c r="C7" s="20" t="s">
        <v>215</v>
      </c>
      <c r="D7" s="11">
        <v>0.24</v>
      </c>
      <c r="E7" s="10" t="s">
        <v>187</v>
      </c>
      <c r="F7" s="10" t="s">
        <v>6</v>
      </c>
      <c r="G7" s="16">
        <v>1</v>
      </c>
      <c r="H7" s="16">
        <v>17</v>
      </c>
      <c r="I7" s="12">
        <f aca="true" t="shared" si="1" ref="I7:I20">G7/H7</f>
        <v>0.058823529411764705</v>
      </c>
      <c r="J7" s="12">
        <f aca="true" t="shared" si="2" ref="J7:J20">(G7+0.5)/(H7+1)</f>
        <v>0.08333333333333333</v>
      </c>
      <c r="K7" s="12" t="s">
        <v>188</v>
      </c>
      <c r="L7" s="3" t="s">
        <v>34</v>
      </c>
      <c r="M7" s="3" t="s">
        <v>562</v>
      </c>
      <c r="N7" s="3" t="s">
        <v>456</v>
      </c>
      <c r="O7" s="12">
        <f t="shared" si="0"/>
        <v>0.08333333333333333</v>
      </c>
      <c r="P7" s="96">
        <v>0.5</v>
      </c>
      <c r="Q7" s="114">
        <f aca="true" t="shared" si="3" ref="Q7:Q20">P7*(1-O7)/O7</f>
        <v>5.5</v>
      </c>
      <c r="R7" s="13">
        <f aca="true" t="shared" si="4" ref="R7:R12">AC7/AD7</f>
        <v>7.219801656894013</v>
      </c>
      <c r="S7" s="18">
        <v>0.08</v>
      </c>
      <c r="T7" s="13">
        <v>0.5</v>
      </c>
      <c r="U7" s="12">
        <f aca="true" t="shared" si="5" ref="U7:U20">T7*(1-S7)/S7</f>
        <v>5.75</v>
      </c>
      <c r="V7" s="13">
        <f aca="true" t="shared" si="6" ref="V7:V20">Z7/AA7</f>
        <v>7.269792172978068</v>
      </c>
      <c r="Y7" s="32"/>
      <c r="Z7" s="28">
        <f aca="true" t="shared" si="7" ref="Z7:Z20">BETAINV(0.95,T7,U7)</f>
        <v>0.294189453125</v>
      </c>
      <c r="AA7" s="28">
        <f aca="true" t="shared" si="8" ref="AA7:AA20">BETAINV(0.5,T7,U7)</f>
        <v>0.04046738147735596</v>
      </c>
      <c r="AB7" s="32"/>
      <c r="AC7" s="28">
        <f aca="true" t="shared" si="9" ref="AC7:AC20">BETAINV(0.95,P7,Q7)</f>
        <v>0.30574607849121094</v>
      </c>
      <c r="AD7" s="28">
        <f aca="true" t="shared" si="10" ref="AD7:AD20">BETAINV(0.5,P7,Q7)</f>
        <v>0.042348265647888184</v>
      </c>
      <c r="AE7" s="119">
        <v>39114</v>
      </c>
    </row>
    <row r="8" spans="1:40" ht="25.5" customHeight="1">
      <c r="A8" s="20" t="s">
        <v>319</v>
      </c>
      <c r="B8" s="20" t="s">
        <v>216</v>
      </c>
      <c r="C8" s="20" t="s">
        <v>217</v>
      </c>
      <c r="D8" s="11">
        <v>0.5</v>
      </c>
      <c r="E8" s="10" t="s">
        <v>187</v>
      </c>
      <c r="F8" s="10" t="s">
        <v>6</v>
      </c>
      <c r="G8" s="16">
        <v>0</v>
      </c>
      <c r="H8" s="16">
        <v>1</v>
      </c>
      <c r="I8" s="12">
        <f t="shared" si="1"/>
        <v>0</v>
      </c>
      <c r="J8" s="12">
        <f t="shared" si="2"/>
        <v>0.25</v>
      </c>
      <c r="K8" s="12" t="s">
        <v>188</v>
      </c>
      <c r="L8" s="3" t="s">
        <v>34</v>
      </c>
      <c r="M8" s="3" t="s">
        <v>562</v>
      </c>
      <c r="N8" s="3" t="s">
        <v>456</v>
      </c>
      <c r="O8" s="12">
        <f t="shared" si="0"/>
        <v>0.25</v>
      </c>
      <c r="P8" s="96">
        <v>0.5</v>
      </c>
      <c r="Q8" s="114">
        <f t="shared" si="3"/>
        <v>1.5</v>
      </c>
      <c r="R8" s="13">
        <f t="shared" si="4"/>
        <v>4.727377915691482</v>
      </c>
      <c r="S8" s="18">
        <v>0.25</v>
      </c>
      <c r="T8" s="13">
        <v>0.5</v>
      </c>
      <c r="U8" s="12">
        <f t="shared" si="5"/>
        <v>1.5</v>
      </c>
      <c r="V8" s="13">
        <f t="shared" si="6"/>
        <v>4.727377915691482</v>
      </c>
      <c r="Y8" s="32"/>
      <c r="Z8" s="28">
        <f t="shared" si="7"/>
        <v>0.7714805603027344</v>
      </c>
      <c r="AA8" s="28">
        <f t="shared" si="8"/>
        <v>0.1631941795349121</v>
      </c>
      <c r="AB8" s="32"/>
      <c r="AC8" s="28">
        <f t="shared" si="9"/>
        <v>0.7714805603027344</v>
      </c>
      <c r="AD8" s="28">
        <f t="shared" si="10"/>
        <v>0.1631941795349121</v>
      </c>
      <c r="AE8" s="119">
        <v>39114</v>
      </c>
      <c r="AI8" s="14" t="s">
        <v>174</v>
      </c>
      <c r="AJ8" s="14" t="s">
        <v>454</v>
      </c>
      <c r="AK8" s="105" t="s">
        <v>19</v>
      </c>
      <c r="AL8" s="104">
        <v>0.05</v>
      </c>
      <c r="AM8" s="104">
        <v>0.5</v>
      </c>
      <c r="AN8" s="104">
        <v>0.95</v>
      </c>
    </row>
    <row r="9" spans="1:40" ht="25.5" customHeight="1">
      <c r="A9" s="20" t="s">
        <v>315</v>
      </c>
      <c r="B9" s="20" t="s">
        <v>221</v>
      </c>
      <c r="C9" s="20" t="s">
        <v>223</v>
      </c>
      <c r="D9" s="11" t="s">
        <v>188</v>
      </c>
      <c r="E9" s="10" t="s">
        <v>187</v>
      </c>
      <c r="F9" s="10" t="s">
        <v>6</v>
      </c>
      <c r="G9" s="16">
        <v>14</v>
      </c>
      <c r="H9" s="16">
        <v>28</v>
      </c>
      <c r="I9" s="12">
        <f t="shared" si="1"/>
        <v>0.5</v>
      </c>
      <c r="J9" s="12">
        <f t="shared" si="2"/>
        <v>0.5</v>
      </c>
      <c r="K9" s="12" t="s">
        <v>188</v>
      </c>
      <c r="L9" s="3" t="s">
        <v>500</v>
      </c>
      <c r="M9" s="3" t="s">
        <v>562</v>
      </c>
      <c r="N9" s="3" t="s">
        <v>729</v>
      </c>
      <c r="O9" s="12">
        <v>0.503</v>
      </c>
      <c r="P9" s="96">
        <v>4.18</v>
      </c>
      <c r="Q9" s="114">
        <f t="shared" si="3"/>
        <v>4.13013916500994</v>
      </c>
      <c r="R9" s="13">
        <f t="shared" si="4"/>
        <v>1.5353580719265905</v>
      </c>
      <c r="S9" s="18">
        <v>0.5</v>
      </c>
      <c r="T9" s="13">
        <v>4</v>
      </c>
      <c r="U9" s="12">
        <f t="shared" si="5"/>
        <v>4</v>
      </c>
      <c r="V9" s="13">
        <f t="shared" si="6"/>
        <v>1.549356460571289</v>
      </c>
      <c r="Y9" s="32"/>
      <c r="Z9" s="28">
        <f t="shared" si="7"/>
        <v>0.7746782302856445</v>
      </c>
      <c r="AA9" s="28">
        <f t="shared" si="8"/>
        <v>0.5</v>
      </c>
      <c r="AB9" s="32"/>
      <c r="AC9" s="28">
        <f t="shared" si="9"/>
        <v>0.7726716995239258</v>
      </c>
      <c r="AD9" s="28">
        <f t="shared" si="10"/>
        <v>0.5032517910003662</v>
      </c>
      <c r="AE9" s="119">
        <v>39114</v>
      </c>
      <c r="AH9" s="14" t="s">
        <v>19</v>
      </c>
      <c r="AI9" s="33">
        <v>0.0012</v>
      </c>
      <c r="AJ9" s="14">
        <v>0.9</v>
      </c>
      <c r="AK9" s="105">
        <f>AJ9*(1-AI9)/AI9</f>
        <v>749.1000000000001</v>
      </c>
      <c r="AL9" s="33">
        <f>BETAINV(0.05,$AJ9,$AK9)</f>
        <v>4.667043685913086E-05</v>
      </c>
      <c r="AM9" s="33">
        <f>BETAINV(0.5,$AJ9,$AK9)</f>
        <v>0.0007963497191667557</v>
      </c>
      <c r="AN9" s="33">
        <f>BETAINV(0.95,$AJ9,$AK9)</f>
        <v>0.003729701042175293</v>
      </c>
    </row>
    <row r="10" spans="1:40" ht="25.5" customHeight="1">
      <c r="A10" s="20" t="s">
        <v>316</v>
      </c>
      <c r="B10" s="20" t="s">
        <v>224</v>
      </c>
      <c r="C10" s="20" t="s">
        <v>429</v>
      </c>
      <c r="D10" s="11" t="s">
        <v>188</v>
      </c>
      <c r="E10" s="10" t="s">
        <v>187</v>
      </c>
      <c r="F10" s="10" t="s">
        <v>6</v>
      </c>
      <c r="G10" s="16">
        <v>1</v>
      </c>
      <c r="H10" s="16">
        <v>38</v>
      </c>
      <c r="I10" s="12">
        <f t="shared" si="1"/>
        <v>0.02631578947368421</v>
      </c>
      <c r="J10" s="12">
        <f t="shared" si="2"/>
        <v>0.038461538461538464</v>
      </c>
      <c r="K10" s="12" t="s">
        <v>188</v>
      </c>
      <c r="L10" s="3" t="s">
        <v>35</v>
      </c>
      <c r="M10" s="3" t="s">
        <v>562</v>
      </c>
      <c r="N10" s="3" t="s">
        <v>456</v>
      </c>
      <c r="O10" s="12">
        <f t="shared" si="0"/>
        <v>0.038461538461538464</v>
      </c>
      <c r="P10" s="96">
        <v>0.5</v>
      </c>
      <c r="Q10" s="114">
        <f t="shared" si="3"/>
        <v>12.5</v>
      </c>
      <c r="R10" s="13">
        <f t="shared" si="4"/>
        <v>7.886462584923789</v>
      </c>
      <c r="S10" s="18">
        <v>0.04</v>
      </c>
      <c r="T10" s="13">
        <v>0.5</v>
      </c>
      <c r="U10" s="12">
        <f t="shared" si="5"/>
        <v>12</v>
      </c>
      <c r="V10" s="13">
        <f t="shared" si="6"/>
        <v>7.863861174469461</v>
      </c>
      <c r="Y10" s="32"/>
      <c r="Z10" s="28">
        <f t="shared" si="7"/>
        <v>0.15073347091674805</v>
      </c>
      <c r="AA10" s="28">
        <f t="shared" si="8"/>
        <v>0.01916787028312683</v>
      </c>
      <c r="AB10" s="32"/>
      <c r="AC10" s="28">
        <f t="shared" si="9"/>
        <v>0.14505672454833984</v>
      </c>
      <c r="AD10" s="28">
        <f t="shared" si="10"/>
        <v>0.018393129110336304</v>
      </c>
      <c r="AE10" s="119">
        <v>39114</v>
      </c>
      <c r="AH10" s="14" t="s">
        <v>455</v>
      </c>
      <c r="AI10" s="33">
        <v>0.02</v>
      </c>
      <c r="AJ10" s="14">
        <v>6</v>
      </c>
      <c r="AK10" s="105">
        <f>AJ10/AI10</f>
        <v>300</v>
      </c>
      <c r="AL10" s="33">
        <f>GAMMAINV(0.05,$AJ10,1/$AK10)</f>
        <v>0.008710049166073933</v>
      </c>
      <c r="AM10" s="33">
        <f>GAMMAINV(0.5,$AJ10,1/$AK10)</f>
        <v>0.018900538034829613</v>
      </c>
      <c r="AN10" s="105">
        <f>GAMMAINV(0.95,$AJ10,1/$AK10)</f>
        <v>0.03504344969683411</v>
      </c>
    </row>
    <row r="11" spans="1:31" ht="25.5" customHeight="1">
      <c r="A11" s="20" t="s">
        <v>317</v>
      </c>
      <c r="B11" s="20" t="s">
        <v>225</v>
      </c>
      <c r="C11" s="20" t="s">
        <v>428</v>
      </c>
      <c r="D11" s="11" t="s">
        <v>188</v>
      </c>
      <c r="E11" s="10" t="s">
        <v>187</v>
      </c>
      <c r="F11" s="10" t="s">
        <v>6</v>
      </c>
      <c r="G11" s="16">
        <v>1</v>
      </c>
      <c r="H11" s="16">
        <v>1</v>
      </c>
      <c r="I11" s="12">
        <f t="shared" si="1"/>
        <v>1</v>
      </c>
      <c r="J11" s="12">
        <f t="shared" si="2"/>
        <v>0.75</v>
      </c>
      <c r="K11" s="12" t="s">
        <v>188</v>
      </c>
      <c r="L11" s="3" t="s">
        <v>35</v>
      </c>
      <c r="M11" s="3" t="s">
        <v>562</v>
      </c>
      <c r="N11" s="3" t="s">
        <v>456</v>
      </c>
      <c r="O11" s="12">
        <f t="shared" si="0"/>
        <v>0.75</v>
      </c>
      <c r="P11" s="96">
        <v>0.5</v>
      </c>
      <c r="Q11" s="114">
        <f t="shared" si="3"/>
        <v>0.16666666666666666</v>
      </c>
      <c r="R11" s="13">
        <f t="shared" si="4"/>
        <v>1.051566602886413</v>
      </c>
      <c r="S11" s="18">
        <v>0.8</v>
      </c>
      <c r="T11" s="13">
        <v>0.5</v>
      </c>
      <c r="U11" s="12">
        <f t="shared" si="5"/>
        <v>0.12499999999999997</v>
      </c>
      <c r="V11" s="13">
        <f t="shared" si="6"/>
        <v>1.0132233699554016</v>
      </c>
      <c r="Y11" s="32"/>
      <c r="Z11" s="28">
        <f t="shared" si="7"/>
        <v>0.9999999998687343</v>
      </c>
      <c r="AA11" s="28">
        <f t="shared" si="8"/>
        <v>0.9869492053985596</v>
      </c>
      <c r="AB11" s="32"/>
      <c r="AC11" s="28">
        <f t="shared" si="9"/>
        <v>0.9999999499013938</v>
      </c>
      <c r="AD11" s="28">
        <f t="shared" si="10"/>
        <v>0.9509620666503906</v>
      </c>
      <c r="AE11" s="119">
        <v>39114</v>
      </c>
    </row>
    <row r="12" spans="1:31" ht="38.25" customHeight="1">
      <c r="A12" s="20" t="s">
        <v>7</v>
      </c>
      <c r="B12" s="20" t="s">
        <v>218</v>
      </c>
      <c r="C12" s="20" t="s">
        <v>457</v>
      </c>
      <c r="D12" s="11">
        <v>0.034</v>
      </c>
      <c r="E12" s="10" t="s">
        <v>187</v>
      </c>
      <c r="F12" s="10" t="s">
        <v>6</v>
      </c>
      <c r="G12" s="16">
        <v>1</v>
      </c>
      <c r="H12" s="16">
        <v>197.95</v>
      </c>
      <c r="I12" s="12">
        <f t="shared" si="1"/>
        <v>0.005051780752715332</v>
      </c>
      <c r="J12" s="12">
        <f>(G12+0.5)/H12</f>
        <v>0.007577671129072999</v>
      </c>
      <c r="K12" s="12" t="s">
        <v>188</v>
      </c>
      <c r="L12" s="3" t="s">
        <v>35</v>
      </c>
      <c r="M12" s="3" t="s">
        <v>561</v>
      </c>
      <c r="N12" s="3" t="s">
        <v>463</v>
      </c>
      <c r="O12" s="12">
        <f t="shared" si="0"/>
        <v>0.007577671129072999</v>
      </c>
      <c r="P12" s="96">
        <v>0.5</v>
      </c>
      <c r="Q12" s="114">
        <f>P12/O12</f>
        <v>65.98333333333332</v>
      </c>
      <c r="R12" s="13">
        <f t="shared" si="4"/>
        <v>8.443947193457866</v>
      </c>
      <c r="S12" s="18">
        <v>0.008</v>
      </c>
      <c r="T12" s="13">
        <v>0.5</v>
      </c>
      <c r="U12" s="12">
        <f t="shared" si="5"/>
        <v>62</v>
      </c>
      <c r="V12" s="13">
        <f t="shared" si="6"/>
        <v>8.443947193457866</v>
      </c>
      <c r="W12" s="14" t="s">
        <v>628</v>
      </c>
      <c r="Y12" s="32"/>
      <c r="Z12" s="28">
        <f>GAMMAINV(0.95,T12,U12)</f>
        <v>119.08523363418234</v>
      </c>
      <c r="AA12" s="28">
        <f>GAMMAINV(0.5,T12,U12)</f>
        <v>14.10302917650246</v>
      </c>
      <c r="AB12" s="32"/>
      <c r="AC12" s="28">
        <f>GAMMAINV(0.95,P12,Q12)</f>
        <v>126.73613977358275</v>
      </c>
      <c r="AD12" s="28">
        <f>GAMMAINV(0.5,P12,Q12)</f>
        <v>15.009110889723985</v>
      </c>
      <c r="AE12" s="119">
        <v>39114</v>
      </c>
    </row>
    <row r="13" spans="1:31" ht="25.5" customHeight="1">
      <c r="A13" s="20" t="s">
        <v>320</v>
      </c>
      <c r="B13" s="20" t="s">
        <v>219</v>
      </c>
      <c r="C13" s="20" t="s">
        <v>220</v>
      </c>
      <c r="D13" s="11">
        <v>0.17</v>
      </c>
      <c r="E13" s="10" t="s">
        <v>187</v>
      </c>
      <c r="F13" s="10" t="s">
        <v>6</v>
      </c>
      <c r="G13" s="16">
        <v>0</v>
      </c>
      <c r="H13" s="16">
        <v>1</v>
      </c>
      <c r="I13" s="12">
        <f t="shared" si="1"/>
        <v>0</v>
      </c>
      <c r="J13" s="12">
        <f t="shared" si="2"/>
        <v>0.25</v>
      </c>
      <c r="K13" s="12" t="s">
        <v>188</v>
      </c>
      <c r="L13" s="3" t="s">
        <v>35</v>
      </c>
      <c r="M13" s="3" t="s">
        <v>562</v>
      </c>
      <c r="N13" s="3" t="s">
        <v>456</v>
      </c>
      <c r="O13" s="12">
        <f t="shared" si="0"/>
        <v>0.25</v>
      </c>
      <c r="P13" s="96">
        <v>0.5</v>
      </c>
      <c r="Q13" s="114">
        <f t="shared" si="3"/>
        <v>1.5</v>
      </c>
      <c r="R13" s="13">
        <f aca="true" t="shared" si="11" ref="R13:R20">AC13/AD13</f>
        <v>4.727377915691482</v>
      </c>
      <c r="S13" s="18">
        <v>0.25</v>
      </c>
      <c r="T13" s="13">
        <v>0.5</v>
      </c>
      <c r="U13" s="12">
        <f t="shared" si="5"/>
        <v>1.5</v>
      </c>
      <c r="V13" s="13">
        <f t="shared" si="6"/>
        <v>4.727377915691482</v>
      </c>
      <c r="Y13" s="32"/>
      <c r="Z13" s="28">
        <f t="shared" si="7"/>
        <v>0.7714805603027344</v>
      </c>
      <c r="AA13" s="28">
        <f t="shared" si="8"/>
        <v>0.1631941795349121</v>
      </c>
      <c r="AB13" s="32"/>
      <c r="AC13" s="28">
        <f t="shared" si="9"/>
        <v>0.7714805603027344</v>
      </c>
      <c r="AD13" s="28">
        <f t="shared" si="10"/>
        <v>0.1631941795349121</v>
      </c>
      <c r="AE13" s="119">
        <v>39114</v>
      </c>
    </row>
    <row r="14" spans="1:33" ht="25.5" customHeight="1">
      <c r="A14" s="20" t="s">
        <v>321</v>
      </c>
      <c r="B14" s="20" t="s">
        <v>221</v>
      </c>
      <c r="C14" s="20" t="s">
        <v>226</v>
      </c>
      <c r="D14" s="11">
        <v>0.13</v>
      </c>
      <c r="E14" s="10" t="s">
        <v>187</v>
      </c>
      <c r="F14" s="10" t="s">
        <v>6</v>
      </c>
      <c r="G14" s="16">
        <v>2</v>
      </c>
      <c r="H14" s="16">
        <v>17</v>
      </c>
      <c r="I14" s="12">
        <f t="shared" si="1"/>
        <v>0.11764705882352941</v>
      </c>
      <c r="J14" s="12">
        <f t="shared" si="2"/>
        <v>0.1388888888888889</v>
      </c>
      <c r="K14" s="12" t="s">
        <v>188</v>
      </c>
      <c r="L14" s="3" t="s">
        <v>501</v>
      </c>
      <c r="M14" s="3" t="s">
        <v>562</v>
      </c>
      <c r="N14" s="3" t="s">
        <v>456</v>
      </c>
      <c r="O14" s="12">
        <f t="shared" si="0"/>
        <v>0.1388888888888889</v>
      </c>
      <c r="P14" s="96">
        <v>0.5</v>
      </c>
      <c r="Q14" s="114">
        <f t="shared" si="3"/>
        <v>3.1</v>
      </c>
      <c r="R14" s="13">
        <f t="shared" si="11"/>
        <v>6.380000624200243</v>
      </c>
      <c r="S14" s="18">
        <v>0.15</v>
      </c>
      <c r="T14" s="13">
        <v>0.5</v>
      </c>
      <c r="U14" s="12">
        <f t="shared" si="5"/>
        <v>2.8333333333333335</v>
      </c>
      <c r="V14" s="13">
        <f t="shared" si="6"/>
        <v>6.211527636419461</v>
      </c>
      <c r="X14" s="28"/>
      <c r="Y14" s="32"/>
      <c r="Z14" s="28">
        <f t="shared" si="7"/>
        <v>0.5209159851074219</v>
      </c>
      <c r="AA14" s="28">
        <f t="shared" si="8"/>
        <v>0.0838627815246582</v>
      </c>
      <c r="AB14" s="32"/>
      <c r="AC14" s="28">
        <f t="shared" si="9"/>
        <v>0.4873790740966797</v>
      </c>
      <c r="AD14" s="28">
        <f t="shared" si="10"/>
        <v>0.07639169692993164</v>
      </c>
      <c r="AE14" s="119">
        <v>39114</v>
      </c>
      <c r="AF14" s="34"/>
      <c r="AG14" s="34"/>
    </row>
    <row r="15" spans="1:33" ht="25.5" customHeight="1">
      <c r="A15" s="20" t="s">
        <v>322</v>
      </c>
      <c r="B15" s="20" t="s">
        <v>224</v>
      </c>
      <c r="C15" s="20" t="s">
        <v>44</v>
      </c>
      <c r="D15" s="11">
        <v>0.192</v>
      </c>
      <c r="E15" s="10" t="s">
        <v>187</v>
      </c>
      <c r="F15" s="10" t="s">
        <v>6</v>
      </c>
      <c r="G15" s="16">
        <v>1</v>
      </c>
      <c r="H15" s="16">
        <v>8</v>
      </c>
      <c r="I15" s="12">
        <f t="shared" si="1"/>
        <v>0.125</v>
      </c>
      <c r="J15" s="12">
        <f t="shared" si="2"/>
        <v>0.16666666666666666</v>
      </c>
      <c r="K15" s="12" t="s">
        <v>188</v>
      </c>
      <c r="L15" s="3" t="s">
        <v>35</v>
      </c>
      <c r="M15" s="3" t="s">
        <v>562</v>
      </c>
      <c r="N15" s="3" t="s">
        <v>456</v>
      </c>
      <c r="O15" s="12">
        <f t="shared" si="0"/>
        <v>0.16666666666666666</v>
      </c>
      <c r="P15" s="96">
        <v>0.5</v>
      </c>
      <c r="Q15" s="114">
        <f t="shared" si="3"/>
        <v>2.5000000000000004</v>
      </c>
      <c r="R15" s="13">
        <f t="shared" si="11"/>
        <v>5.95920771519278</v>
      </c>
      <c r="S15" s="18">
        <v>0.15</v>
      </c>
      <c r="T15" s="13">
        <v>0.5</v>
      </c>
      <c r="U15" s="12">
        <f t="shared" si="5"/>
        <v>2.8333333333333335</v>
      </c>
      <c r="V15" s="13">
        <f t="shared" si="6"/>
        <v>6.211527636419461</v>
      </c>
      <c r="Y15" s="32"/>
      <c r="Z15" s="28">
        <f t="shared" si="7"/>
        <v>0.5209159851074219</v>
      </c>
      <c r="AA15" s="28">
        <f t="shared" si="8"/>
        <v>0.0838627815246582</v>
      </c>
      <c r="AB15" s="32"/>
      <c r="AC15" s="28">
        <f t="shared" si="9"/>
        <v>0.5692577362060547</v>
      </c>
      <c r="AD15" s="28">
        <f t="shared" si="10"/>
        <v>0.09552574157714844</v>
      </c>
      <c r="AE15" s="119">
        <v>39114</v>
      </c>
      <c r="AF15" s="34"/>
      <c r="AG15" s="34"/>
    </row>
    <row r="16" spans="1:33" ht="25.5" customHeight="1">
      <c r="A16" s="20" t="s">
        <v>323</v>
      </c>
      <c r="B16" s="20" t="s">
        <v>225</v>
      </c>
      <c r="C16" s="20" t="s">
        <v>430</v>
      </c>
      <c r="D16" s="11">
        <v>0.833</v>
      </c>
      <c r="E16" s="10" t="s">
        <v>187</v>
      </c>
      <c r="F16" s="10" t="s">
        <v>6</v>
      </c>
      <c r="G16" s="16">
        <v>1</v>
      </c>
      <c r="H16" s="16">
        <v>1</v>
      </c>
      <c r="I16" s="12">
        <f t="shared" si="1"/>
        <v>1</v>
      </c>
      <c r="J16" s="12">
        <f t="shared" si="2"/>
        <v>0.75</v>
      </c>
      <c r="K16" s="12" t="s">
        <v>188</v>
      </c>
      <c r="L16" s="3" t="s">
        <v>35</v>
      </c>
      <c r="M16" s="3" t="s">
        <v>562</v>
      </c>
      <c r="N16" s="3" t="s">
        <v>456</v>
      </c>
      <c r="O16" s="12">
        <f t="shared" si="0"/>
        <v>0.75</v>
      </c>
      <c r="P16" s="96">
        <v>0.5</v>
      </c>
      <c r="Q16" s="114">
        <f t="shared" si="3"/>
        <v>0.16666666666666666</v>
      </c>
      <c r="R16" s="13">
        <f t="shared" si="11"/>
        <v>1.051566602886413</v>
      </c>
      <c r="S16" s="18">
        <v>0.8</v>
      </c>
      <c r="T16" s="13">
        <v>0.5</v>
      </c>
      <c r="U16" s="12">
        <f t="shared" si="5"/>
        <v>0.12499999999999997</v>
      </c>
      <c r="V16" s="13">
        <f t="shared" si="6"/>
        <v>1.0132233699554016</v>
      </c>
      <c r="Y16" s="32"/>
      <c r="Z16" s="28">
        <f t="shared" si="7"/>
        <v>0.9999999998687343</v>
      </c>
      <c r="AA16" s="28">
        <f t="shared" si="8"/>
        <v>0.9869492053985596</v>
      </c>
      <c r="AB16" s="32"/>
      <c r="AC16" s="28">
        <f t="shared" si="9"/>
        <v>0.9999999499013938</v>
      </c>
      <c r="AD16" s="28">
        <f t="shared" si="10"/>
        <v>0.9509620666503906</v>
      </c>
      <c r="AE16" s="119">
        <v>39114</v>
      </c>
      <c r="AF16" s="34"/>
      <c r="AG16" s="34"/>
    </row>
    <row r="17" spans="1:33" ht="25.5" customHeight="1">
      <c r="A17" s="20" t="s">
        <v>324</v>
      </c>
      <c r="B17" s="20" t="s">
        <v>227</v>
      </c>
      <c r="C17" s="20" t="s">
        <v>228</v>
      </c>
      <c r="D17" s="11" t="s">
        <v>188</v>
      </c>
      <c r="E17" s="10" t="s">
        <v>187</v>
      </c>
      <c r="F17" s="10" t="s">
        <v>6</v>
      </c>
      <c r="G17" s="16">
        <v>0</v>
      </c>
      <c r="H17" s="16">
        <v>1270</v>
      </c>
      <c r="I17" s="12">
        <f t="shared" si="1"/>
        <v>0</v>
      </c>
      <c r="J17" s="12">
        <f t="shared" si="2"/>
        <v>0.0003933910306845004</v>
      </c>
      <c r="K17" s="12" t="s">
        <v>188</v>
      </c>
      <c r="L17" s="3" t="s">
        <v>502</v>
      </c>
      <c r="M17" s="3" t="s">
        <v>562</v>
      </c>
      <c r="N17" s="3" t="s">
        <v>456</v>
      </c>
      <c r="O17" s="12">
        <f t="shared" si="0"/>
        <v>0.0003933910306845004</v>
      </c>
      <c r="P17" s="96">
        <v>0.5</v>
      </c>
      <c r="Q17" s="114">
        <f t="shared" si="3"/>
        <v>1270.5</v>
      </c>
      <c r="R17" s="13">
        <f t="shared" si="11"/>
        <v>8.438340489385551</v>
      </c>
      <c r="S17" s="18">
        <v>0.0004</v>
      </c>
      <c r="T17" s="13">
        <v>0.5</v>
      </c>
      <c r="U17" s="12">
        <f t="shared" si="5"/>
        <v>1249.5</v>
      </c>
      <c r="V17" s="13">
        <f t="shared" si="6"/>
        <v>8.438235640150799</v>
      </c>
      <c r="Y17" s="32"/>
      <c r="Z17" s="28">
        <f t="shared" si="7"/>
        <v>0.0015363246202468872</v>
      </c>
      <c r="AA17" s="28">
        <f t="shared" si="8"/>
        <v>0.00018206704407930374</v>
      </c>
      <c r="AB17" s="32"/>
      <c r="AC17" s="28">
        <f t="shared" si="9"/>
        <v>0.0015109479427337646</v>
      </c>
      <c r="AD17" s="28">
        <f t="shared" si="10"/>
        <v>0.00017905747517943382</v>
      </c>
      <c r="AE17" s="119">
        <v>39114</v>
      </c>
      <c r="AF17" s="34"/>
      <c r="AG17" s="34"/>
    </row>
    <row r="18" spans="1:33" ht="25.5" customHeight="1">
      <c r="A18" s="20" t="s">
        <v>325</v>
      </c>
      <c r="B18" s="20" t="s">
        <v>229</v>
      </c>
      <c r="C18" s="20" t="s">
        <v>230</v>
      </c>
      <c r="D18" s="11" t="s">
        <v>188</v>
      </c>
      <c r="E18" s="10" t="s">
        <v>187</v>
      </c>
      <c r="F18" s="10" t="s">
        <v>6</v>
      </c>
      <c r="G18" s="16">
        <v>0</v>
      </c>
      <c r="H18" s="16">
        <v>0</v>
      </c>
      <c r="I18" s="12" t="e">
        <f t="shared" si="1"/>
        <v>#DIV/0!</v>
      </c>
      <c r="J18" s="12">
        <f t="shared" si="2"/>
        <v>0.5</v>
      </c>
      <c r="K18" s="12" t="s">
        <v>188</v>
      </c>
      <c r="L18" s="3" t="s">
        <v>502</v>
      </c>
      <c r="M18" s="3" t="s">
        <v>562</v>
      </c>
      <c r="N18" s="3" t="s">
        <v>456</v>
      </c>
      <c r="O18" s="12">
        <f t="shared" si="0"/>
        <v>0.5</v>
      </c>
      <c r="P18" s="96">
        <v>0.5</v>
      </c>
      <c r="Q18" s="114">
        <f t="shared" si="3"/>
        <v>0.5</v>
      </c>
      <c r="R18" s="13">
        <f t="shared" si="11"/>
        <v>1.9876883029937744</v>
      </c>
      <c r="S18" s="18">
        <v>0.5</v>
      </c>
      <c r="T18" s="13">
        <v>0.5</v>
      </c>
      <c r="U18" s="12">
        <f t="shared" si="5"/>
        <v>0.5</v>
      </c>
      <c r="V18" s="13">
        <f t="shared" si="6"/>
        <v>1.9876883029937744</v>
      </c>
      <c r="X18" s="34"/>
      <c r="Y18" s="32"/>
      <c r="Z18" s="28">
        <f t="shared" si="7"/>
        <v>0.9938441514968872</v>
      </c>
      <c r="AA18" s="28">
        <f t="shared" si="8"/>
        <v>0.5</v>
      </c>
      <c r="AB18" s="32"/>
      <c r="AC18" s="28">
        <f t="shared" si="9"/>
        <v>0.9938441514968872</v>
      </c>
      <c r="AD18" s="28">
        <f t="shared" si="10"/>
        <v>0.5</v>
      </c>
      <c r="AE18" s="119">
        <v>39114</v>
      </c>
      <c r="AF18" s="34"/>
      <c r="AG18" s="34"/>
    </row>
    <row r="19" spans="1:33" ht="25.5" customHeight="1">
      <c r="A19" s="20" t="s">
        <v>326</v>
      </c>
      <c r="B19" s="20" t="s">
        <v>227</v>
      </c>
      <c r="C19" s="20" t="s">
        <v>231</v>
      </c>
      <c r="D19" s="11" t="s">
        <v>188</v>
      </c>
      <c r="E19" s="10" t="s">
        <v>187</v>
      </c>
      <c r="F19" s="10" t="s">
        <v>6</v>
      </c>
      <c r="G19" s="16">
        <v>1</v>
      </c>
      <c r="H19" s="16">
        <v>478</v>
      </c>
      <c r="I19" s="12">
        <f t="shared" si="1"/>
        <v>0.0020920502092050207</v>
      </c>
      <c r="J19" s="12">
        <f t="shared" si="2"/>
        <v>0.003131524008350731</v>
      </c>
      <c r="K19" s="12" t="s">
        <v>188</v>
      </c>
      <c r="L19" s="3" t="s">
        <v>35</v>
      </c>
      <c r="M19" s="3" t="s">
        <v>562</v>
      </c>
      <c r="N19" s="3" t="s">
        <v>456</v>
      </c>
      <c r="O19" s="12">
        <f t="shared" si="0"/>
        <v>0.003131524008350731</v>
      </c>
      <c r="P19" s="96">
        <v>0.5</v>
      </c>
      <c r="Q19" s="114">
        <f t="shared" si="3"/>
        <v>159.16666666666666</v>
      </c>
      <c r="R19" s="13">
        <f t="shared" si="11"/>
        <v>8.399131145918522</v>
      </c>
      <c r="S19" s="18">
        <v>0.003</v>
      </c>
      <c r="T19" s="13">
        <v>0.5</v>
      </c>
      <c r="U19" s="12">
        <f t="shared" si="5"/>
        <v>166.16666666666666</v>
      </c>
      <c r="V19" s="13">
        <f t="shared" si="6"/>
        <v>8.401014772940476</v>
      </c>
      <c r="X19" s="34"/>
      <c r="Y19" s="32"/>
      <c r="Z19" s="28">
        <f t="shared" si="7"/>
        <v>0.011509716510772705</v>
      </c>
      <c r="AA19" s="28">
        <f t="shared" si="8"/>
        <v>0.0013700388371944427</v>
      </c>
      <c r="AB19" s="32"/>
      <c r="AC19" s="28">
        <f t="shared" si="9"/>
        <v>0.012013614177703857</v>
      </c>
      <c r="AD19" s="28">
        <f t="shared" si="10"/>
        <v>0.0014303401112556458</v>
      </c>
      <c r="AE19" s="119">
        <v>39114</v>
      </c>
      <c r="AF19" s="34"/>
      <c r="AG19" s="34"/>
    </row>
    <row r="20" spans="1:35" ht="25.5" customHeight="1">
      <c r="A20" s="37" t="s">
        <v>327</v>
      </c>
      <c r="B20" s="41" t="s">
        <v>229</v>
      </c>
      <c r="C20" s="41" t="s">
        <v>232</v>
      </c>
      <c r="D20" s="7" t="s">
        <v>188</v>
      </c>
      <c r="E20" s="5" t="s">
        <v>187</v>
      </c>
      <c r="F20" s="21" t="s">
        <v>6</v>
      </c>
      <c r="G20" s="23">
        <v>1</v>
      </c>
      <c r="H20" s="23">
        <v>1</v>
      </c>
      <c r="I20" s="7">
        <f t="shared" si="1"/>
        <v>1</v>
      </c>
      <c r="J20" s="7">
        <f t="shared" si="2"/>
        <v>0.75</v>
      </c>
      <c r="K20" s="7" t="s">
        <v>188</v>
      </c>
      <c r="L20" s="5" t="s">
        <v>35</v>
      </c>
      <c r="M20" s="5" t="s">
        <v>562</v>
      </c>
      <c r="N20" s="5" t="s">
        <v>456</v>
      </c>
      <c r="O20" s="7">
        <f t="shared" si="0"/>
        <v>0.75</v>
      </c>
      <c r="P20" s="89">
        <v>0.5</v>
      </c>
      <c r="Q20" s="115">
        <f t="shared" si="3"/>
        <v>0.16666666666666666</v>
      </c>
      <c r="R20" s="13">
        <f t="shared" si="11"/>
        <v>1.051566602886413</v>
      </c>
      <c r="S20" s="9">
        <v>0.8</v>
      </c>
      <c r="T20" s="22">
        <v>0.5</v>
      </c>
      <c r="U20" s="7">
        <f t="shared" si="5"/>
        <v>0.12499999999999997</v>
      </c>
      <c r="V20" s="22">
        <f t="shared" si="6"/>
        <v>1.0132233699554016</v>
      </c>
      <c r="W20" s="41"/>
      <c r="X20" s="65"/>
      <c r="Y20" s="66"/>
      <c r="Z20" s="28">
        <f t="shared" si="7"/>
        <v>0.9999999998687343</v>
      </c>
      <c r="AA20" s="28">
        <f t="shared" si="8"/>
        <v>0.9869492053985596</v>
      </c>
      <c r="AB20" s="66"/>
      <c r="AC20" s="28">
        <f t="shared" si="9"/>
        <v>0.9999999499013938</v>
      </c>
      <c r="AD20" s="28">
        <f t="shared" si="10"/>
        <v>0.9509620666503906</v>
      </c>
      <c r="AE20" s="120">
        <v>39114</v>
      </c>
      <c r="AF20" s="65"/>
      <c r="AG20" s="65"/>
      <c r="AH20" s="54"/>
      <c r="AI20" s="54"/>
    </row>
    <row r="21" spans="1:23" ht="25.5" customHeight="1">
      <c r="A21" s="147" t="s">
        <v>730</v>
      </c>
      <c r="B21" s="147"/>
      <c r="C21" s="147"/>
      <c r="D21" s="147"/>
      <c r="E21" s="147"/>
      <c r="F21" s="147"/>
      <c r="G21" s="147"/>
      <c r="H21" s="147"/>
      <c r="I21" s="147"/>
      <c r="J21" s="147"/>
      <c r="K21" s="147"/>
      <c r="L21" s="147"/>
      <c r="M21" s="147"/>
      <c r="N21" s="147"/>
      <c r="O21" s="147"/>
      <c r="P21" s="147"/>
      <c r="Q21" s="147"/>
      <c r="R21" s="147"/>
      <c r="S21" s="147"/>
      <c r="T21" s="147"/>
      <c r="U21" s="147"/>
      <c r="V21" s="147"/>
      <c r="W21" s="147"/>
    </row>
    <row r="22" spans="1:23" ht="25.5" customHeight="1">
      <c r="A22" s="136" t="s">
        <v>754</v>
      </c>
      <c r="B22" s="136"/>
      <c r="C22" s="136"/>
      <c r="D22" s="136"/>
      <c r="E22" s="136"/>
      <c r="F22" s="136"/>
      <c r="G22" s="136"/>
      <c r="H22" s="136"/>
      <c r="I22" s="136"/>
      <c r="J22" s="136"/>
      <c r="K22" s="136"/>
      <c r="L22" s="136"/>
      <c r="M22" s="136"/>
      <c r="N22" s="136"/>
      <c r="O22" s="136"/>
      <c r="P22" s="136"/>
      <c r="Q22" s="136"/>
      <c r="R22" s="136"/>
      <c r="S22" s="136"/>
      <c r="T22" s="136"/>
      <c r="U22" s="136"/>
      <c r="V22" s="136"/>
      <c r="W22" s="136"/>
    </row>
    <row r="23" spans="1:23" ht="12.75" customHeight="1">
      <c r="A23" s="136" t="s">
        <v>743</v>
      </c>
      <c r="B23" s="132"/>
      <c r="C23" s="132"/>
      <c r="D23" s="132"/>
      <c r="E23" s="132"/>
      <c r="F23" s="132"/>
      <c r="G23" s="132"/>
      <c r="H23" s="132"/>
      <c r="I23" s="132"/>
      <c r="J23" s="132"/>
      <c r="K23" s="132"/>
      <c r="L23" s="132"/>
      <c r="M23" s="132"/>
      <c r="N23" s="132"/>
      <c r="O23" s="132"/>
      <c r="P23" s="132"/>
      <c r="Q23" s="132"/>
      <c r="R23" s="132"/>
      <c r="S23" s="132"/>
      <c r="T23" s="132"/>
      <c r="U23" s="132"/>
      <c r="V23" s="132"/>
      <c r="W23" s="132"/>
    </row>
    <row r="24" spans="1:23" ht="12.75">
      <c r="A24" s="135" t="s">
        <v>738</v>
      </c>
      <c r="B24" s="135"/>
      <c r="C24" s="135"/>
      <c r="D24" s="135"/>
      <c r="E24" s="135"/>
      <c r="F24" s="135"/>
      <c r="G24" s="135"/>
      <c r="H24" s="135"/>
      <c r="I24" s="135"/>
      <c r="J24" s="135"/>
      <c r="K24" s="135"/>
      <c r="L24" s="135"/>
      <c r="M24" s="135"/>
      <c r="N24" s="135"/>
      <c r="O24" s="135"/>
      <c r="P24" s="135"/>
      <c r="Q24" s="135"/>
      <c r="R24" s="135"/>
      <c r="S24" s="135"/>
      <c r="T24" s="135"/>
      <c r="U24" s="135"/>
      <c r="V24" s="135"/>
      <c r="W24" s="135"/>
    </row>
    <row r="25" spans="1:23" ht="12.75">
      <c r="A25" s="135" t="s">
        <v>744</v>
      </c>
      <c r="B25" s="135"/>
      <c r="C25" s="135"/>
      <c r="D25" s="135"/>
      <c r="E25" s="135"/>
      <c r="F25" s="135"/>
      <c r="G25" s="135"/>
      <c r="H25" s="135"/>
      <c r="I25" s="135"/>
      <c r="J25" s="135"/>
      <c r="K25" s="135"/>
      <c r="L25" s="135"/>
      <c r="M25" s="135"/>
      <c r="N25" s="135"/>
      <c r="O25" s="135"/>
      <c r="P25" s="135"/>
      <c r="Q25" s="135"/>
      <c r="R25" s="135"/>
      <c r="S25" s="135"/>
      <c r="T25" s="135"/>
      <c r="U25" s="135"/>
      <c r="V25" s="135"/>
      <c r="W25" s="135"/>
    </row>
    <row r="26" spans="1:6" ht="12.75">
      <c r="A26" s="77"/>
      <c r="B26" s="29"/>
      <c r="D26" s="30"/>
      <c r="E26" s="30"/>
      <c r="F26" s="30"/>
    </row>
    <row r="31" ht="12.75">
      <c r="R31" s="33"/>
    </row>
  </sheetData>
  <mergeCells count="14">
    <mergeCell ref="A22:W22"/>
    <mergeCell ref="W4:W5"/>
    <mergeCell ref="A21:W21"/>
    <mergeCell ref="A24:W24"/>
    <mergeCell ref="AE4:AE5"/>
    <mergeCell ref="A25:W25"/>
    <mergeCell ref="A23:W23"/>
    <mergeCell ref="D4:E4"/>
    <mergeCell ref="G4:L4"/>
    <mergeCell ref="A4:A5"/>
    <mergeCell ref="B4:B5"/>
    <mergeCell ref="C4:C5"/>
    <mergeCell ref="F4:F5"/>
    <mergeCell ref="N4:V4"/>
  </mergeCells>
  <printOptions/>
  <pageMargins left="0.75" right="0.75" top="1" bottom="1" header="0.5" footer="0.5"/>
  <pageSetup horizontalDpi="600" verticalDpi="600" orientation="landscape" scale="61" r:id="rId1"/>
</worksheet>
</file>

<file path=xl/worksheets/sheet4.xml><?xml version="1.0" encoding="utf-8"?>
<worksheet xmlns="http://schemas.openxmlformats.org/spreadsheetml/2006/main" xmlns:r="http://schemas.openxmlformats.org/officeDocument/2006/relationships">
  <sheetPr>
    <pageSetUpPr fitToPage="1"/>
  </sheetPr>
  <dimension ref="A1:AN51"/>
  <sheetViews>
    <sheetView zoomScale="75" zoomScaleNormal="75" workbookViewId="0" topLeftCell="A1">
      <pane xSplit="2" ySplit="5" topLeftCell="G6" activePane="bottomRight" state="frozen"/>
      <selection pane="topLeft" activeCell="A1" sqref="A1"/>
      <selection pane="topRight" activeCell="C1" sqref="C1"/>
      <selection pane="bottomLeft" activeCell="A6" sqref="A6"/>
      <selection pane="bottomRight" activeCell="A2" sqref="A2"/>
    </sheetView>
  </sheetViews>
  <sheetFormatPr defaultColWidth="9.140625" defaultRowHeight="12.75"/>
  <cols>
    <col min="1" max="1" width="11.28125" style="14" customWidth="1"/>
    <col min="2" max="2" width="33.28125" style="30" customWidth="1"/>
    <col min="3" max="3" width="8.140625" style="30" hidden="1" customWidth="1"/>
    <col min="4" max="4" width="6.8515625" style="30" hidden="1" customWidth="1"/>
    <col min="5" max="5" width="7.7109375" style="100" customWidth="1"/>
    <col min="6" max="6" width="8.7109375" style="30" customWidth="1"/>
    <col min="7" max="7" width="8.28125" style="30" customWidth="1"/>
    <col min="8" max="10" width="9.8515625" style="30" hidden="1" customWidth="1"/>
    <col min="11" max="11" width="9.8515625" style="25" hidden="1" customWidth="1"/>
    <col min="12" max="12" width="9.8515625" style="30" hidden="1" customWidth="1"/>
    <col min="13" max="13" width="17.140625" style="30" hidden="1" customWidth="1"/>
    <col min="14" max="14" width="28.00390625" style="30" hidden="1" customWidth="1"/>
    <col min="15" max="15" width="16.8515625" style="3" customWidth="1"/>
    <col min="16" max="16" width="9.8515625" style="24" bestFit="1" customWidth="1"/>
    <col min="17" max="17" width="8.421875" style="88" bestFit="1" customWidth="1"/>
    <col min="18" max="18" width="9.421875" style="108" customWidth="1"/>
    <col min="19" max="19" width="9.00390625" style="25" customWidth="1"/>
    <col min="20" max="20" width="10.57421875" style="30" customWidth="1"/>
    <col min="21" max="21" width="8.7109375" style="42" customWidth="1"/>
    <col min="22" max="22" width="8.140625" style="24" customWidth="1"/>
    <col min="23" max="23" width="7.57421875" style="42" customWidth="1"/>
    <col min="24" max="24" width="36.57421875" style="30" customWidth="1"/>
    <col min="25" max="25" width="30.57421875" style="30" hidden="1" customWidth="1"/>
    <col min="26" max="26" width="7.421875" style="30" hidden="1" customWidth="1"/>
    <col min="27" max="27" width="21.140625" style="30" hidden="1" customWidth="1"/>
    <col min="28" max="29" width="9.140625" style="30" hidden="1" customWidth="1"/>
    <col min="30" max="30" width="10.57421875" style="30" hidden="1" customWidth="1"/>
    <col min="31" max="31" width="34.140625" style="14" hidden="1" customWidth="1"/>
    <col min="32" max="32" width="9.7109375" style="24" hidden="1" customWidth="1"/>
    <col min="33" max="33" width="10.8515625" style="24" hidden="1" customWidth="1"/>
    <col min="34" max="35" width="9.140625" style="30" hidden="1" customWidth="1"/>
    <col min="36" max="36" width="8.7109375" style="30" hidden="1" customWidth="1"/>
    <col min="37" max="37" width="9.140625" style="30" hidden="1" customWidth="1"/>
    <col min="38" max="38" width="11.7109375" style="30" hidden="1" customWidth="1"/>
    <col min="39" max="39" width="47.00390625" style="14" customWidth="1"/>
    <col min="40" max="16384" width="9.140625" style="30" customWidth="1"/>
  </cols>
  <sheetData>
    <row r="1" ht="12.75">
      <c r="A1" s="30" t="s">
        <v>17</v>
      </c>
    </row>
    <row r="2" ht="12.75">
      <c r="A2" s="64"/>
    </row>
    <row r="4" spans="1:40" ht="12.75">
      <c r="A4" s="129" t="s">
        <v>431</v>
      </c>
      <c r="B4" s="129" t="s">
        <v>173</v>
      </c>
      <c r="C4" s="131" t="s">
        <v>192</v>
      </c>
      <c r="D4" s="131"/>
      <c r="E4" s="126" t="s">
        <v>175</v>
      </c>
      <c r="F4" s="134" t="s">
        <v>329</v>
      </c>
      <c r="G4" s="134"/>
      <c r="H4" s="134"/>
      <c r="I4" s="134"/>
      <c r="J4" s="134"/>
      <c r="K4" s="134"/>
      <c r="L4" s="134"/>
      <c r="M4" s="143"/>
      <c r="N4" s="143"/>
      <c r="O4" s="134" t="s">
        <v>3</v>
      </c>
      <c r="P4" s="151"/>
      <c r="Q4" s="151"/>
      <c r="R4" s="151"/>
      <c r="S4" s="151"/>
      <c r="T4" s="151"/>
      <c r="U4" s="151"/>
      <c r="V4" s="151"/>
      <c r="W4" s="151"/>
      <c r="X4" s="149" t="s">
        <v>660</v>
      </c>
      <c r="Y4" s="129" t="s">
        <v>185</v>
      </c>
      <c r="AA4" s="139" t="s">
        <v>249</v>
      </c>
      <c r="AB4" s="139"/>
      <c r="AC4" s="139"/>
      <c r="AD4" s="139"/>
      <c r="AE4" s="139"/>
      <c r="AM4" s="139" t="s">
        <v>527</v>
      </c>
      <c r="AN4" s="129" t="s">
        <v>755</v>
      </c>
    </row>
    <row r="5" spans="1:40" ht="38.25">
      <c r="A5" s="130"/>
      <c r="B5" s="125"/>
      <c r="C5" s="5" t="s">
        <v>174</v>
      </c>
      <c r="D5" s="5" t="s">
        <v>186</v>
      </c>
      <c r="E5" s="127"/>
      <c r="F5" s="5" t="s">
        <v>14</v>
      </c>
      <c r="G5" s="5" t="s">
        <v>517</v>
      </c>
      <c r="H5" s="5" t="s">
        <v>330</v>
      </c>
      <c r="I5" s="5" t="s">
        <v>332</v>
      </c>
      <c r="J5" s="5" t="s">
        <v>41</v>
      </c>
      <c r="K5" s="8" t="s">
        <v>18</v>
      </c>
      <c r="L5" s="5" t="s">
        <v>294</v>
      </c>
      <c r="M5" s="5" t="s">
        <v>175</v>
      </c>
      <c r="N5" s="5" t="s">
        <v>211</v>
      </c>
      <c r="O5" s="5" t="s">
        <v>733</v>
      </c>
      <c r="P5" s="7" t="s">
        <v>174</v>
      </c>
      <c r="Q5" s="116" t="s">
        <v>518</v>
      </c>
      <c r="R5" s="109" t="s">
        <v>519</v>
      </c>
      <c r="S5" s="8" t="s">
        <v>212</v>
      </c>
      <c r="T5" s="5" t="s">
        <v>742</v>
      </c>
      <c r="U5" s="22" t="s">
        <v>735</v>
      </c>
      <c r="V5" s="107" t="s">
        <v>736</v>
      </c>
      <c r="W5" s="22" t="s">
        <v>212</v>
      </c>
      <c r="X5" s="151"/>
      <c r="Y5" s="128"/>
      <c r="AA5" s="94" t="s">
        <v>246</v>
      </c>
      <c r="AB5" s="94" t="s">
        <v>247</v>
      </c>
      <c r="AC5" s="94" t="s">
        <v>248</v>
      </c>
      <c r="AD5" s="39" t="s">
        <v>261</v>
      </c>
      <c r="AE5" s="39" t="s">
        <v>263</v>
      </c>
      <c r="AF5" s="31">
        <v>0.95</v>
      </c>
      <c r="AG5" s="31" t="s">
        <v>270</v>
      </c>
      <c r="AH5" s="2" t="s">
        <v>19</v>
      </c>
      <c r="AI5" s="95">
        <v>0.95</v>
      </c>
      <c r="AJ5" s="2" t="s">
        <v>270</v>
      </c>
      <c r="AK5" s="99">
        <v>0.95</v>
      </c>
      <c r="AL5" s="99">
        <v>0.5</v>
      </c>
      <c r="AM5" s="133"/>
      <c r="AN5" s="141"/>
    </row>
    <row r="6" spans="1:40" ht="25.5">
      <c r="A6" s="46" t="s">
        <v>243</v>
      </c>
      <c r="B6" s="54" t="s">
        <v>441</v>
      </c>
      <c r="C6" s="56">
        <v>3E-05</v>
      </c>
      <c r="D6" s="56" t="s">
        <v>206</v>
      </c>
      <c r="E6" s="101" t="s">
        <v>507</v>
      </c>
      <c r="F6" s="58"/>
      <c r="G6" s="57"/>
      <c r="H6" s="57"/>
      <c r="I6" s="44"/>
      <c r="J6" s="44"/>
      <c r="K6" s="68"/>
      <c r="L6" s="57"/>
      <c r="M6" s="55"/>
      <c r="N6" s="55"/>
      <c r="O6" s="15" t="s">
        <v>509</v>
      </c>
      <c r="P6" s="56">
        <v>6.78E-06</v>
      </c>
      <c r="Q6" s="92">
        <v>0.47</v>
      </c>
      <c r="R6" s="110">
        <f>Q6/P6</f>
        <v>69321.53392330382</v>
      </c>
      <c r="S6" s="57">
        <f>AK6/AL6</f>
        <v>9.137234788288088</v>
      </c>
      <c r="T6" s="59">
        <v>7E-06</v>
      </c>
      <c r="U6" s="57">
        <v>0.5</v>
      </c>
      <c r="V6" s="56">
        <f>U6/T6</f>
        <v>71428.57142857143</v>
      </c>
      <c r="W6" s="57">
        <f>AF6/AG6</f>
        <v>8.44394719345787</v>
      </c>
      <c r="X6" s="54"/>
      <c r="Y6" s="46" t="s">
        <v>242</v>
      </c>
      <c r="AA6" s="30" t="s">
        <v>250</v>
      </c>
      <c r="AB6" s="30">
        <v>153</v>
      </c>
      <c r="AC6" s="30">
        <v>178.9</v>
      </c>
      <c r="AD6" s="26">
        <f aca="true" t="shared" si="0" ref="AD6:AD11">AB6/AC6</f>
        <v>0.8552263834544438</v>
      </c>
      <c r="AE6" s="14" t="s">
        <v>251</v>
      </c>
      <c r="AF6" s="24">
        <f>GAMMAINV(0.95,U6,1/V6)</f>
        <v>2.6890214046428275E-05</v>
      </c>
      <c r="AG6" s="24">
        <f>GAMMAINV(0.5,U6,1/V6)</f>
        <v>3.1845549753392644E-06</v>
      </c>
      <c r="AK6" s="24">
        <f>GAMMAINV(0.95,Q6,1/R6)</f>
        <v>2.6623787978215696E-05</v>
      </c>
      <c r="AL6" s="24">
        <f>GAMMAINV(0.5,Q6,1/R6)</f>
        <v>2.9137686176502214E-06</v>
      </c>
      <c r="AN6" s="119">
        <v>39114</v>
      </c>
    </row>
    <row r="7" spans="1:40" ht="25.5">
      <c r="A7" s="46" t="s">
        <v>244</v>
      </c>
      <c r="B7" s="54" t="s">
        <v>442</v>
      </c>
      <c r="C7" s="56">
        <v>5E-06</v>
      </c>
      <c r="D7" s="56" t="s">
        <v>206</v>
      </c>
      <c r="E7" s="101" t="s">
        <v>507</v>
      </c>
      <c r="F7" s="2"/>
      <c r="G7" s="49"/>
      <c r="H7" s="49"/>
      <c r="I7" s="44"/>
      <c r="J7" s="44"/>
      <c r="K7" s="68"/>
      <c r="L7" s="49"/>
      <c r="M7" s="53"/>
      <c r="N7" s="53"/>
      <c r="O7" s="15" t="s">
        <v>509</v>
      </c>
      <c r="P7" s="31">
        <v>1.33E-06</v>
      </c>
      <c r="Q7" s="91">
        <v>0.42</v>
      </c>
      <c r="R7" s="110">
        <f aca="true" t="shared" si="1" ref="R7:R16">Q7/P7</f>
        <v>315789.4736842105</v>
      </c>
      <c r="S7" s="57">
        <f aca="true" t="shared" si="2" ref="S7:S16">AK7/AL7</f>
        <v>10.662498048648146</v>
      </c>
      <c r="T7" s="51">
        <v>1.2E-06</v>
      </c>
      <c r="U7" s="49">
        <v>0.4</v>
      </c>
      <c r="V7" s="56">
        <f>U7/T7</f>
        <v>333333.3333333334</v>
      </c>
      <c r="W7" s="57">
        <f>AF7/AG7</f>
        <v>11.455634242955387</v>
      </c>
      <c r="X7" s="14"/>
      <c r="Y7" s="50" t="s">
        <v>242</v>
      </c>
      <c r="AA7" s="30" t="s">
        <v>252</v>
      </c>
      <c r="AB7" s="30">
        <v>212</v>
      </c>
      <c r="AC7" s="30">
        <v>301.7</v>
      </c>
      <c r="AD7" s="26">
        <f t="shared" si="0"/>
        <v>0.7026847862114683</v>
      </c>
      <c r="AF7" s="24">
        <f>GAMMAINV(0.95,U7,1/V7)</f>
        <v>4.9858864511412665E-06</v>
      </c>
      <c r="AG7" s="24">
        <f>GAMMAINV(0.5,U7,1/V7)</f>
        <v>4.3523443097070986E-07</v>
      </c>
      <c r="AK7" s="24">
        <f aca="true" t="shared" si="3" ref="AK7:AK33">GAMMAINV(0.95,Q7,1/R7)</f>
        <v>5.433223773091901E-06</v>
      </c>
      <c r="AL7" s="24">
        <f aca="true" t="shared" si="4" ref="AL7:AL33">GAMMAINV(0.5,Q7,1/R7)</f>
        <v>5.0956387033344E-07</v>
      </c>
      <c r="AN7" s="119">
        <v>39114</v>
      </c>
    </row>
    <row r="8" spans="1:40" ht="25.5">
      <c r="A8" s="20" t="s">
        <v>201</v>
      </c>
      <c r="B8" s="20" t="s">
        <v>434</v>
      </c>
      <c r="C8" s="11">
        <v>0.0238</v>
      </c>
      <c r="D8" s="10" t="s">
        <v>206</v>
      </c>
      <c r="E8" s="101" t="s">
        <v>447</v>
      </c>
      <c r="F8" s="2">
        <v>8</v>
      </c>
      <c r="G8" s="49">
        <v>965.8</v>
      </c>
      <c r="H8" s="31">
        <f>F8/G8</f>
        <v>0.008283288465520813</v>
      </c>
      <c r="I8" s="44">
        <f>(F8+0.5)/G8</f>
        <v>0.008800993994615864</v>
      </c>
      <c r="J8" s="44"/>
      <c r="K8" s="68"/>
      <c r="L8" s="49"/>
      <c r="M8" s="53" t="s">
        <v>40</v>
      </c>
      <c r="N8" s="55" t="s">
        <v>20</v>
      </c>
      <c r="O8" s="3" t="s">
        <v>524</v>
      </c>
      <c r="P8" s="31">
        <f>I8</f>
        <v>0.008800993994615864</v>
      </c>
      <c r="Q8" s="91">
        <v>8.5</v>
      </c>
      <c r="R8" s="110">
        <f t="shared" si="1"/>
        <v>965.7999999999998</v>
      </c>
      <c r="S8" s="57">
        <f t="shared" si="2"/>
        <v>1.688505516326819</v>
      </c>
      <c r="T8" s="51">
        <v>0.009</v>
      </c>
      <c r="U8" s="49">
        <v>8</v>
      </c>
      <c r="V8" s="56">
        <f aca="true" t="shared" si="5" ref="V8:V16">U8/T8</f>
        <v>888.8888888888889</v>
      </c>
      <c r="W8" s="57">
        <f aca="true" t="shared" si="6" ref="W8:W16">AF8/AG8</f>
        <v>1.7143937439428043</v>
      </c>
      <c r="X8" s="14" t="s">
        <v>42</v>
      </c>
      <c r="Y8" s="50"/>
      <c r="AA8" s="30" t="s">
        <v>253</v>
      </c>
      <c r="AB8" s="30">
        <v>39</v>
      </c>
      <c r="AC8" s="30">
        <v>208.2</v>
      </c>
      <c r="AD8" s="26">
        <f t="shared" si="0"/>
        <v>0.1873198847262248</v>
      </c>
      <c r="AE8" s="14" t="s">
        <v>257</v>
      </c>
      <c r="AF8" s="24">
        <f aca="true" t="shared" si="7" ref="AF8:AF16">GAMMAINV(0.95,U8,1/V8)</f>
        <v>0.01479162802816103</v>
      </c>
      <c r="AG8" s="24">
        <f aca="true" t="shared" si="8" ref="AG8:AG16">GAMMAINV(0.5,U8,1/V8)</f>
        <v>0.008627905975754954</v>
      </c>
      <c r="AH8" s="24">
        <f>K8/I8</f>
        <v>0</v>
      </c>
      <c r="AI8" s="24" t="e">
        <f>GAMMAINV(0.95,K8,1/AH8)</f>
        <v>#DIV/0!</v>
      </c>
      <c r="AJ8" s="24" t="e">
        <f>GAMMAINV(0.5,K8,1/AH8)</f>
        <v>#DIV/0!</v>
      </c>
      <c r="AK8" s="24">
        <f t="shared" si="3"/>
        <v>0.014282000227632107</v>
      </c>
      <c r="AL8" s="24">
        <f t="shared" si="4"/>
        <v>0.008458367526510201</v>
      </c>
      <c r="AM8" s="14" t="s">
        <v>526</v>
      </c>
      <c r="AN8" s="119">
        <v>39114</v>
      </c>
    </row>
    <row r="9" spans="1:40" ht="25.5">
      <c r="A9" s="46" t="s">
        <v>241</v>
      </c>
      <c r="B9" s="54" t="s">
        <v>439</v>
      </c>
      <c r="C9" s="56">
        <v>0.00097</v>
      </c>
      <c r="D9" s="56" t="s">
        <v>206</v>
      </c>
      <c r="E9" s="101" t="s">
        <v>447</v>
      </c>
      <c r="F9" s="58">
        <v>0</v>
      </c>
      <c r="G9" s="57">
        <v>1282.385</v>
      </c>
      <c r="H9" s="31">
        <f aca="true" t="shared" si="9" ref="H9:H15">F9/G9</f>
        <v>0</v>
      </c>
      <c r="I9" s="44">
        <f aca="true" t="shared" si="10" ref="I9:I31">(F9+0.5)/G9</f>
        <v>0.0003898985094179985</v>
      </c>
      <c r="J9" s="44"/>
      <c r="K9" s="68"/>
      <c r="L9" s="57"/>
      <c r="M9" s="53" t="s">
        <v>239</v>
      </c>
      <c r="N9" s="55" t="s">
        <v>20</v>
      </c>
      <c r="O9" s="3" t="s">
        <v>463</v>
      </c>
      <c r="P9" s="31">
        <f>I9</f>
        <v>0.0003898985094179985</v>
      </c>
      <c r="Q9" s="92">
        <v>0.5</v>
      </c>
      <c r="R9" s="110">
        <f t="shared" si="1"/>
        <v>1282.385</v>
      </c>
      <c r="S9" s="57">
        <f t="shared" si="2"/>
        <v>8.443947193457866</v>
      </c>
      <c r="T9" s="59">
        <v>0.0004</v>
      </c>
      <c r="U9" s="57">
        <v>0.5</v>
      </c>
      <c r="V9" s="56">
        <f t="shared" si="5"/>
        <v>1250</v>
      </c>
      <c r="W9" s="57">
        <f t="shared" si="6"/>
        <v>8.443947193457866</v>
      </c>
      <c r="X9" s="54" t="s">
        <v>449</v>
      </c>
      <c r="Y9" s="46" t="s">
        <v>21</v>
      </c>
      <c r="AA9" s="30" t="s">
        <v>254</v>
      </c>
      <c r="AB9" s="30">
        <v>65</v>
      </c>
      <c r="AC9" s="30">
        <v>704.7</v>
      </c>
      <c r="AD9" s="26">
        <f t="shared" si="0"/>
        <v>0.09223783170143322</v>
      </c>
      <c r="AF9" s="24">
        <f t="shared" si="7"/>
        <v>0.0015365836597959013</v>
      </c>
      <c r="AG9" s="24">
        <f t="shared" si="8"/>
        <v>0.00018197457001938657</v>
      </c>
      <c r="AH9" s="24"/>
      <c r="AK9" s="24">
        <f t="shared" si="3"/>
        <v>0.0014977791963761869</v>
      </c>
      <c r="AL9" s="24">
        <f t="shared" si="4"/>
        <v>0.00017737903400635006</v>
      </c>
      <c r="AM9" s="14" t="s">
        <v>530</v>
      </c>
      <c r="AN9" s="119">
        <v>39114</v>
      </c>
    </row>
    <row r="10" spans="1:40" ht="25.5">
      <c r="A10" s="20" t="s">
        <v>199</v>
      </c>
      <c r="B10" s="20" t="s">
        <v>36</v>
      </c>
      <c r="C10" s="44">
        <v>0.29</v>
      </c>
      <c r="D10" s="15" t="s">
        <v>206</v>
      </c>
      <c r="E10" s="101" t="s">
        <v>447</v>
      </c>
      <c r="F10" s="15">
        <v>41</v>
      </c>
      <c r="G10" s="45">
        <v>208.61</v>
      </c>
      <c r="H10" s="31">
        <f t="shared" si="9"/>
        <v>0.1965389962130291</v>
      </c>
      <c r="I10" s="44">
        <f t="shared" si="10"/>
        <v>0.19893581324001725</v>
      </c>
      <c r="J10" s="44">
        <v>0.197</v>
      </c>
      <c r="K10" s="68">
        <v>15.822</v>
      </c>
      <c r="L10" s="49">
        <f>AI10/AJ10</f>
        <v>1.477225117273103</v>
      </c>
      <c r="M10" s="46" t="s">
        <v>236</v>
      </c>
      <c r="N10" s="46"/>
      <c r="O10" s="3" t="s">
        <v>348</v>
      </c>
      <c r="P10" s="31">
        <f>H10</f>
        <v>0.1965389962130291</v>
      </c>
      <c r="Q10" s="91">
        <v>11.08</v>
      </c>
      <c r="R10" s="110">
        <f t="shared" si="1"/>
        <v>56.37558048780488</v>
      </c>
      <c r="S10" s="57">
        <f t="shared" si="2"/>
        <v>1.587406434194848</v>
      </c>
      <c r="T10" s="47">
        <v>0.2</v>
      </c>
      <c r="U10" s="45">
        <v>12</v>
      </c>
      <c r="V10" s="56">
        <f t="shared" si="5"/>
        <v>60</v>
      </c>
      <c r="W10" s="57">
        <f t="shared" si="6"/>
        <v>1.5604171426658098</v>
      </c>
      <c r="X10" s="14"/>
      <c r="Y10" s="46"/>
      <c r="AA10" s="30" t="s">
        <v>255</v>
      </c>
      <c r="AB10" s="30">
        <v>82</v>
      </c>
      <c r="AC10" s="30">
        <v>880.1</v>
      </c>
      <c r="AD10" s="26">
        <f t="shared" si="0"/>
        <v>0.09317123054198387</v>
      </c>
      <c r="AE10" s="14" t="s">
        <v>257</v>
      </c>
      <c r="AF10" s="24">
        <f t="shared" si="7"/>
        <v>0.30345857081960315</v>
      </c>
      <c r="AG10" s="24">
        <f t="shared" si="8"/>
        <v>0.19447272304454172</v>
      </c>
      <c r="AH10" s="24">
        <f>K10/J10</f>
        <v>80.31472081218273</v>
      </c>
      <c r="AI10" s="24">
        <f>GAMMAINV(0.95,K10,1/AH10)</f>
        <v>0.2849058699125836</v>
      </c>
      <c r="AJ10" s="24">
        <f>GAMMAINV(0.5,K10,1/AH10)</f>
        <v>0.19286557382567943</v>
      </c>
      <c r="AK10" s="24">
        <f t="shared" si="3"/>
        <v>0.3026532406274306</v>
      </c>
      <c r="AL10" s="24">
        <f t="shared" si="4"/>
        <v>0.19065894789631493</v>
      </c>
      <c r="AM10" s="14" t="s">
        <v>529</v>
      </c>
      <c r="AN10" s="119">
        <v>39114</v>
      </c>
    </row>
    <row r="11" spans="1:40" ht="51">
      <c r="A11" s="46" t="s">
        <v>198</v>
      </c>
      <c r="B11" s="20" t="s">
        <v>8</v>
      </c>
      <c r="C11" s="44">
        <v>0.12</v>
      </c>
      <c r="D11" s="15" t="s">
        <v>206</v>
      </c>
      <c r="E11" s="101" t="s">
        <v>447</v>
      </c>
      <c r="F11" s="15">
        <v>38</v>
      </c>
      <c r="G11" s="45">
        <v>475</v>
      </c>
      <c r="H11" s="31">
        <f t="shared" si="9"/>
        <v>0.08</v>
      </c>
      <c r="I11" s="44">
        <f t="shared" si="10"/>
        <v>0.08105263157894736</v>
      </c>
      <c r="J11" s="44"/>
      <c r="K11" s="68"/>
      <c r="L11" s="45"/>
      <c r="M11" s="46" t="s">
        <v>240</v>
      </c>
      <c r="N11" s="55" t="s">
        <v>20</v>
      </c>
      <c r="O11" s="3" t="s">
        <v>524</v>
      </c>
      <c r="P11" s="31">
        <f>I11</f>
        <v>0.08105263157894736</v>
      </c>
      <c r="Q11" s="90">
        <v>38.5</v>
      </c>
      <c r="R11" s="110">
        <f t="shared" si="1"/>
        <v>475.00000000000006</v>
      </c>
      <c r="S11" s="57">
        <f t="shared" si="2"/>
        <v>1.2901708558231126</v>
      </c>
      <c r="T11" s="47">
        <v>0.08</v>
      </c>
      <c r="U11" s="45">
        <v>40</v>
      </c>
      <c r="V11" s="44">
        <f t="shared" si="5"/>
        <v>500</v>
      </c>
      <c r="W11" s="45">
        <f t="shared" si="6"/>
        <v>1.284178867467143</v>
      </c>
      <c r="X11" s="80"/>
      <c r="Y11" s="46"/>
      <c r="AA11" s="30" t="s">
        <v>250</v>
      </c>
      <c r="AB11" s="30">
        <v>8</v>
      </c>
      <c r="AC11" s="30">
        <v>534.1</v>
      </c>
      <c r="AD11" s="26">
        <f t="shared" si="0"/>
        <v>0.014978468451600823</v>
      </c>
      <c r="AE11" s="14" t="s">
        <v>258</v>
      </c>
      <c r="AF11" s="24">
        <f t="shared" si="7"/>
        <v>0.10187947406286432</v>
      </c>
      <c r="AG11" s="24">
        <f t="shared" si="8"/>
        <v>0.07933433312433091</v>
      </c>
      <c r="AK11" s="24">
        <f t="shared" si="3"/>
        <v>0.10366777214359352</v>
      </c>
      <c r="AL11" s="24">
        <f t="shared" si="4"/>
        <v>0.08035197173746014</v>
      </c>
      <c r="AM11" s="14" t="s">
        <v>528</v>
      </c>
      <c r="AN11" s="119">
        <v>39114</v>
      </c>
    </row>
    <row r="12" spans="1:40" ht="25.5">
      <c r="A12" s="20" t="s">
        <v>200</v>
      </c>
      <c r="B12" s="20" t="s">
        <v>435</v>
      </c>
      <c r="C12" s="11">
        <v>0.0021</v>
      </c>
      <c r="D12" s="10" t="s">
        <v>206</v>
      </c>
      <c r="E12" s="101" t="s">
        <v>447</v>
      </c>
      <c r="F12" s="2">
        <v>1</v>
      </c>
      <c r="G12" s="57">
        <v>1282.385</v>
      </c>
      <c r="H12" s="31">
        <f t="shared" si="9"/>
        <v>0.000779797018835997</v>
      </c>
      <c r="I12" s="44">
        <f t="shared" si="10"/>
        <v>0.0011696955282539956</v>
      </c>
      <c r="J12" s="44"/>
      <c r="K12" s="68"/>
      <c r="L12" s="49"/>
      <c r="M12" s="53" t="s">
        <v>239</v>
      </c>
      <c r="N12" s="55" t="s">
        <v>20</v>
      </c>
      <c r="O12" s="3" t="s">
        <v>463</v>
      </c>
      <c r="P12" s="31">
        <f>I12</f>
        <v>0.0011696955282539956</v>
      </c>
      <c r="Q12" s="91">
        <v>0.5</v>
      </c>
      <c r="R12" s="110">
        <f t="shared" si="1"/>
        <v>427.46166666666664</v>
      </c>
      <c r="S12" s="57">
        <f t="shared" si="2"/>
        <v>8.443947193457866</v>
      </c>
      <c r="T12" s="51">
        <v>0.0012</v>
      </c>
      <c r="U12" s="49">
        <v>0.5</v>
      </c>
      <c r="V12" s="56">
        <f t="shared" si="5"/>
        <v>416.6666666666667</v>
      </c>
      <c r="W12" s="45">
        <f t="shared" si="6"/>
        <v>8.443947193457864</v>
      </c>
      <c r="X12" s="14" t="s">
        <v>42</v>
      </c>
      <c r="Y12" s="50"/>
      <c r="AF12" s="24">
        <f t="shared" si="7"/>
        <v>0.004609750979387702</v>
      </c>
      <c r="AG12" s="24">
        <f t="shared" si="8"/>
        <v>0.0005459237100581596</v>
      </c>
      <c r="AK12" s="24">
        <f t="shared" si="3"/>
        <v>0.00449333758912856</v>
      </c>
      <c r="AL12" s="24">
        <f t="shared" si="4"/>
        <v>0.0005321371020190501</v>
      </c>
      <c r="AM12" s="14" t="s">
        <v>531</v>
      </c>
      <c r="AN12" s="119">
        <v>39114</v>
      </c>
    </row>
    <row r="13" spans="1:40" ht="25.5">
      <c r="A13" s="20" t="s">
        <v>204</v>
      </c>
      <c r="B13" s="20" t="s">
        <v>9</v>
      </c>
      <c r="C13" s="11">
        <v>0.029</v>
      </c>
      <c r="D13" s="10" t="s">
        <v>206</v>
      </c>
      <c r="E13" s="101" t="s">
        <v>447</v>
      </c>
      <c r="F13" s="2">
        <v>3</v>
      </c>
      <c r="G13" s="49">
        <v>343.3</v>
      </c>
      <c r="H13" s="31">
        <f t="shared" si="9"/>
        <v>0.00873871249635887</v>
      </c>
      <c r="I13" s="44">
        <f t="shared" si="10"/>
        <v>0.010195164579085347</v>
      </c>
      <c r="J13" s="44"/>
      <c r="K13" s="68"/>
      <c r="L13" s="49"/>
      <c r="M13" s="53" t="s">
        <v>37</v>
      </c>
      <c r="N13" s="55" t="s">
        <v>20</v>
      </c>
      <c r="O13" s="3" t="s">
        <v>524</v>
      </c>
      <c r="P13" s="31">
        <f>I13</f>
        <v>0.010195164579085347</v>
      </c>
      <c r="Q13" s="91">
        <v>3.5</v>
      </c>
      <c r="R13" s="110">
        <f t="shared" si="1"/>
        <v>343.3</v>
      </c>
      <c r="S13" s="57">
        <f t="shared" si="2"/>
        <v>2.216759939286242</v>
      </c>
      <c r="T13" s="51">
        <v>0.01</v>
      </c>
      <c r="U13" s="49">
        <v>3</v>
      </c>
      <c r="V13" s="31">
        <f t="shared" si="5"/>
        <v>300</v>
      </c>
      <c r="W13" s="49">
        <f t="shared" si="6"/>
        <v>2.3543946767000867</v>
      </c>
      <c r="X13" s="14" t="s">
        <v>42</v>
      </c>
      <c r="Y13" s="50"/>
      <c r="AF13" s="24">
        <f t="shared" si="7"/>
        <v>0.020985978740121085</v>
      </c>
      <c r="AG13" s="24">
        <f t="shared" si="8"/>
        <v>0.00891353473901622</v>
      </c>
      <c r="AK13" s="24">
        <f t="shared" si="3"/>
        <v>0.020488115981657423</v>
      </c>
      <c r="AL13" s="24">
        <f t="shared" si="4"/>
        <v>0.00924237019018588</v>
      </c>
      <c r="AM13" s="14" t="s">
        <v>533</v>
      </c>
      <c r="AN13" s="119">
        <v>39114</v>
      </c>
    </row>
    <row r="14" spans="1:40" ht="25.5">
      <c r="A14" s="50" t="s">
        <v>205</v>
      </c>
      <c r="B14" s="20" t="s">
        <v>10</v>
      </c>
      <c r="C14" s="31">
        <v>0.0096</v>
      </c>
      <c r="D14" s="2" t="s">
        <v>206</v>
      </c>
      <c r="E14" s="101" t="s">
        <v>447</v>
      </c>
      <c r="F14" s="2">
        <v>3</v>
      </c>
      <c r="G14" s="49">
        <v>356.91</v>
      </c>
      <c r="H14" s="31">
        <f t="shared" si="9"/>
        <v>0.008405480373203328</v>
      </c>
      <c r="I14" s="44">
        <f t="shared" si="10"/>
        <v>0.009806393768737216</v>
      </c>
      <c r="J14" s="44"/>
      <c r="K14" s="68"/>
      <c r="L14" s="49"/>
      <c r="M14" s="53" t="s">
        <v>234</v>
      </c>
      <c r="N14" s="53"/>
      <c r="O14" s="3" t="s">
        <v>463</v>
      </c>
      <c r="P14" s="31">
        <f>I14</f>
        <v>0.009806393768737216</v>
      </c>
      <c r="Q14" s="91">
        <v>0.5</v>
      </c>
      <c r="R14" s="110">
        <f t="shared" si="1"/>
        <v>50.98714285714286</v>
      </c>
      <c r="S14" s="57">
        <f t="shared" si="2"/>
        <v>8.443947193457864</v>
      </c>
      <c r="T14" s="51">
        <v>0.01</v>
      </c>
      <c r="U14" s="49">
        <v>0.5</v>
      </c>
      <c r="V14" s="31">
        <f t="shared" si="5"/>
        <v>50</v>
      </c>
      <c r="W14" s="49">
        <f t="shared" si="6"/>
        <v>8.443947193457864</v>
      </c>
      <c r="X14" s="14" t="s">
        <v>42</v>
      </c>
      <c r="Y14" s="50"/>
      <c r="AF14" s="24">
        <f t="shared" si="7"/>
        <v>0.038414591494897524</v>
      </c>
      <c r="AG14" s="24">
        <f t="shared" si="8"/>
        <v>0.0045493642504846644</v>
      </c>
      <c r="AH14" s="24" t="e">
        <f>K14/J14</f>
        <v>#DIV/0!</v>
      </c>
      <c r="AI14" s="24" t="e">
        <f>GAMMAINV(0.95,K14,1/AH14)</f>
        <v>#DIV/0!</v>
      </c>
      <c r="AJ14" s="24" t="e">
        <f aca="true" t="shared" si="11" ref="AJ14:AJ20">GAMMAINV(0.5,K14,1/AH14)</f>
        <v>#DIV/0!</v>
      </c>
      <c r="AK14" s="24">
        <f t="shared" si="3"/>
        <v>0.037670861066414874</v>
      </c>
      <c r="AL14" s="24">
        <f t="shared" si="4"/>
        <v>0.0044612857237668665</v>
      </c>
      <c r="AM14" s="14" t="s">
        <v>532</v>
      </c>
      <c r="AN14" s="119">
        <v>39114</v>
      </c>
    </row>
    <row r="15" spans="1:40" ht="25.5">
      <c r="A15" s="20" t="s">
        <v>183</v>
      </c>
      <c r="B15" s="20" t="s">
        <v>11</v>
      </c>
      <c r="C15" s="44">
        <v>0.085</v>
      </c>
      <c r="D15" s="15" t="s">
        <v>206</v>
      </c>
      <c r="E15" s="101" t="s">
        <v>447</v>
      </c>
      <c r="F15" s="15">
        <v>84</v>
      </c>
      <c r="G15" s="45">
        <v>881.942</v>
      </c>
      <c r="H15" s="31">
        <f t="shared" si="9"/>
        <v>0.09524435847255261</v>
      </c>
      <c r="I15" s="44">
        <f t="shared" si="10"/>
        <v>0.09581128917774638</v>
      </c>
      <c r="J15" s="44">
        <v>0.0959</v>
      </c>
      <c r="K15" s="68">
        <v>1.839</v>
      </c>
      <c r="L15" s="49">
        <f aca="true" t="shared" si="12" ref="L15:L20">AI15/AJ15</f>
        <v>2.9504846338165085</v>
      </c>
      <c r="M15" s="46" t="s">
        <v>237</v>
      </c>
      <c r="N15" s="46"/>
      <c r="O15" s="3" t="s">
        <v>348</v>
      </c>
      <c r="P15" s="31">
        <f>J15</f>
        <v>0.0959</v>
      </c>
      <c r="Q15" s="91">
        <v>1.326</v>
      </c>
      <c r="R15" s="110">
        <f t="shared" si="1"/>
        <v>13.826903023983316</v>
      </c>
      <c r="S15" s="57">
        <f t="shared" si="2"/>
        <v>3.559951630105792</v>
      </c>
      <c r="T15" s="47">
        <v>0.1</v>
      </c>
      <c r="U15" s="45">
        <v>1.2</v>
      </c>
      <c r="V15" s="44">
        <f t="shared" si="5"/>
        <v>11.999999999999998</v>
      </c>
      <c r="W15" s="49">
        <f t="shared" si="6"/>
        <v>3.7983170103225383</v>
      </c>
      <c r="X15" s="14"/>
      <c r="Y15" s="46"/>
      <c r="AF15" s="24">
        <f t="shared" si="7"/>
        <v>0.28105526992545227</v>
      </c>
      <c r="AG15" s="24">
        <f t="shared" si="8"/>
        <v>0.07399468479372293</v>
      </c>
      <c r="AH15" s="24">
        <f aca="true" t="shared" si="13" ref="AH15:AH20">K15/I15</f>
        <v>19.193980331360947</v>
      </c>
      <c r="AI15" s="24">
        <f aca="true" t="shared" si="14" ref="AI15:AI20">GAMMAINV(0.95,K15,1/AH15)</f>
        <v>0.2334278059194554</v>
      </c>
      <c r="AJ15" s="24">
        <f t="shared" si="11"/>
        <v>0.07911507256945516</v>
      </c>
      <c r="AK15" s="24">
        <f t="shared" si="3"/>
        <v>0.26043909832144085</v>
      </c>
      <c r="AL15" s="24">
        <f t="shared" si="4"/>
        <v>0.07315804409221743</v>
      </c>
      <c r="AM15" s="14" t="s">
        <v>534</v>
      </c>
      <c r="AN15" s="119">
        <v>39114</v>
      </c>
    </row>
    <row r="16" spans="1:40" s="14" customFormat="1" ht="38.25">
      <c r="A16" s="20" t="s">
        <v>182</v>
      </c>
      <c r="B16" s="20" t="s">
        <v>12</v>
      </c>
      <c r="C16" s="11">
        <v>0.046</v>
      </c>
      <c r="D16" s="10" t="s">
        <v>206</v>
      </c>
      <c r="E16" s="102" t="s">
        <v>451</v>
      </c>
      <c r="F16" s="3"/>
      <c r="G16" s="13"/>
      <c r="H16" s="44">
        <f>SUM(H17:H20)</f>
        <v>0.033135441115559855</v>
      </c>
      <c r="I16" s="44">
        <f>SUM(I17:I20)</f>
        <v>0.03589672787518984</v>
      </c>
      <c r="J16" s="44"/>
      <c r="K16" s="68">
        <v>1.58</v>
      </c>
      <c r="L16" s="49">
        <f t="shared" si="12"/>
        <v>3.2053032105911603</v>
      </c>
      <c r="M16" s="50" t="s">
        <v>13</v>
      </c>
      <c r="N16" s="50" t="s">
        <v>43</v>
      </c>
      <c r="O16" s="3" t="s">
        <v>525</v>
      </c>
      <c r="P16" s="12">
        <f>(F17+0.5)/G17+(F18+0.5)/G18+(F19+0.5)/G19+(F20+0.5)/G20</f>
        <v>0.03589672787518984</v>
      </c>
      <c r="Q16" s="91">
        <f>K16</f>
        <v>1.58</v>
      </c>
      <c r="R16" s="110">
        <f t="shared" si="1"/>
        <v>44.015153846153844</v>
      </c>
      <c r="S16" s="57">
        <f t="shared" si="2"/>
        <v>3.2053032105911603</v>
      </c>
      <c r="T16" s="18">
        <v>0.04</v>
      </c>
      <c r="U16" s="13">
        <v>1.5</v>
      </c>
      <c r="V16" s="44">
        <f t="shared" si="5"/>
        <v>37.5</v>
      </c>
      <c r="W16" s="49">
        <f t="shared" si="6"/>
        <v>3.302964495071346</v>
      </c>
      <c r="Y16" s="50"/>
      <c r="AA16" s="14" t="s">
        <v>259</v>
      </c>
      <c r="AB16" s="14">
        <v>38</v>
      </c>
      <c r="AC16" s="14">
        <v>1277</v>
      </c>
      <c r="AD16" s="36">
        <f aca="true" t="shared" si="15" ref="AD16:AD29">AB16/AC16</f>
        <v>0.02975724353954581</v>
      </c>
      <c r="AE16" s="14" t="s">
        <v>260</v>
      </c>
      <c r="AF16" s="24">
        <f t="shared" si="7"/>
        <v>0.1041963701859982</v>
      </c>
      <c r="AG16" s="24">
        <f t="shared" si="8"/>
        <v>0.031546318569720955</v>
      </c>
      <c r="AH16" s="24">
        <f t="shared" si="13"/>
        <v>44.015153846153844</v>
      </c>
      <c r="AI16" s="24">
        <f t="shared" si="14"/>
        <v>0.09190378149921927</v>
      </c>
      <c r="AJ16" s="24">
        <f t="shared" si="11"/>
        <v>0.028672414265067073</v>
      </c>
      <c r="AK16" s="24">
        <f t="shared" si="3"/>
        <v>0.09190378149921927</v>
      </c>
      <c r="AL16" s="24">
        <f t="shared" si="4"/>
        <v>0.028672414265067073</v>
      </c>
      <c r="AN16" s="119">
        <v>39114</v>
      </c>
    </row>
    <row r="17" spans="1:40" ht="12.75">
      <c r="A17" s="20"/>
      <c r="B17" s="20" t="s">
        <v>443</v>
      </c>
      <c r="C17" s="11"/>
      <c r="D17" s="10" t="s">
        <v>206</v>
      </c>
      <c r="E17" s="102" t="s">
        <v>447</v>
      </c>
      <c r="F17" s="2">
        <v>1</v>
      </c>
      <c r="G17" s="49">
        <v>724.3</v>
      </c>
      <c r="H17" s="31">
        <f aca="true" t="shared" si="16" ref="H17:H31">F17/G17</f>
        <v>0.0013806433798149939</v>
      </c>
      <c r="I17" s="44">
        <f t="shared" si="10"/>
        <v>0.002070965069722491</v>
      </c>
      <c r="J17" s="44"/>
      <c r="K17" s="68">
        <v>0.5</v>
      </c>
      <c r="L17" s="49">
        <f t="shared" si="12"/>
        <v>8.443947193457864</v>
      </c>
      <c r="M17" s="55" t="s">
        <v>13</v>
      </c>
      <c r="N17" s="53" t="s">
        <v>238</v>
      </c>
      <c r="P17" s="31"/>
      <c r="Q17" s="91"/>
      <c r="R17" s="111"/>
      <c r="S17" s="61"/>
      <c r="T17" s="51"/>
      <c r="U17" s="49"/>
      <c r="V17" s="31"/>
      <c r="W17" s="49"/>
      <c r="X17" s="14"/>
      <c r="Y17" s="50"/>
      <c r="AD17" s="26"/>
      <c r="AH17" s="24">
        <f t="shared" si="13"/>
        <v>241.4333333333333</v>
      </c>
      <c r="AI17" s="24">
        <f t="shared" si="14"/>
        <v>0.007955527715359147</v>
      </c>
      <c r="AJ17" s="24">
        <f t="shared" si="11"/>
        <v>0.0009421574452197982</v>
      </c>
      <c r="AK17" s="24" t="e">
        <f t="shared" si="3"/>
        <v>#DIV/0!</v>
      </c>
      <c r="AL17" s="24" t="e">
        <f t="shared" si="4"/>
        <v>#DIV/0!</v>
      </c>
      <c r="AN17" s="119">
        <v>39114</v>
      </c>
    </row>
    <row r="18" spans="1:40" ht="25.5">
      <c r="A18" s="20"/>
      <c r="B18" s="20" t="s">
        <v>444</v>
      </c>
      <c r="C18" s="11"/>
      <c r="D18" s="10" t="s">
        <v>206</v>
      </c>
      <c r="E18" s="102" t="s">
        <v>447</v>
      </c>
      <c r="F18" s="2">
        <v>7</v>
      </c>
      <c r="G18" s="49">
        <v>724.3</v>
      </c>
      <c r="H18" s="31">
        <f t="shared" si="16"/>
        <v>0.009664503658704957</v>
      </c>
      <c r="I18" s="44">
        <f t="shared" si="10"/>
        <v>0.010354825348612455</v>
      </c>
      <c r="J18" s="44"/>
      <c r="K18" s="68">
        <v>0.5</v>
      </c>
      <c r="L18" s="49">
        <f t="shared" si="12"/>
        <v>8.443947193457866</v>
      </c>
      <c r="M18" s="55" t="s">
        <v>13</v>
      </c>
      <c r="N18" s="53" t="s">
        <v>238</v>
      </c>
      <c r="P18" s="31"/>
      <c r="Q18" s="91"/>
      <c r="R18" s="111"/>
      <c r="S18" s="61"/>
      <c r="T18" s="51"/>
      <c r="U18" s="49"/>
      <c r="V18" s="31"/>
      <c r="W18" s="49"/>
      <c r="X18" s="14"/>
      <c r="Y18" s="50"/>
      <c r="AD18" s="26"/>
      <c r="AH18" s="24">
        <f t="shared" si="13"/>
        <v>48.28666666666666</v>
      </c>
      <c r="AI18" s="24">
        <f t="shared" si="14"/>
        <v>0.03977763857679574</v>
      </c>
      <c r="AJ18" s="24">
        <f t="shared" si="11"/>
        <v>0.004710787226098991</v>
      </c>
      <c r="AK18" s="24" t="e">
        <f t="shared" si="3"/>
        <v>#DIV/0!</v>
      </c>
      <c r="AL18" s="24" t="e">
        <f t="shared" si="4"/>
        <v>#DIV/0!</v>
      </c>
      <c r="AN18" s="119">
        <v>39114</v>
      </c>
    </row>
    <row r="19" spans="1:40" ht="12.75">
      <c r="A19" s="20"/>
      <c r="B19" s="20" t="s">
        <v>445</v>
      </c>
      <c r="C19" s="11"/>
      <c r="D19" s="10" t="s">
        <v>206</v>
      </c>
      <c r="E19" s="102" t="s">
        <v>447</v>
      </c>
      <c r="F19" s="2">
        <v>13</v>
      </c>
      <c r="G19" s="49">
        <v>724.3</v>
      </c>
      <c r="H19" s="31">
        <f t="shared" si="16"/>
        <v>0.01794836393759492</v>
      </c>
      <c r="I19" s="44">
        <f t="shared" si="10"/>
        <v>0.018638685627502417</v>
      </c>
      <c r="J19" s="44"/>
      <c r="K19" s="68">
        <v>0.5</v>
      </c>
      <c r="L19" s="49">
        <f t="shared" si="12"/>
        <v>8.443947193457864</v>
      </c>
      <c r="M19" s="55" t="s">
        <v>13</v>
      </c>
      <c r="N19" s="53" t="s">
        <v>238</v>
      </c>
      <c r="P19" s="31"/>
      <c r="Q19" s="91"/>
      <c r="R19" s="111"/>
      <c r="S19" s="61"/>
      <c r="T19" s="51"/>
      <c r="U19" s="49"/>
      <c r="V19" s="31"/>
      <c r="W19" s="49"/>
      <c r="X19" s="14"/>
      <c r="Y19" s="50"/>
      <c r="AD19" s="26"/>
      <c r="AH19" s="24">
        <f t="shared" si="13"/>
        <v>26.825925925925926</v>
      </c>
      <c r="AI19" s="24">
        <f t="shared" si="14"/>
        <v>0.0715997494382323</v>
      </c>
      <c r="AJ19" s="24">
        <f t="shared" si="11"/>
        <v>0.008479417006978181</v>
      </c>
      <c r="AK19" s="24" t="e">
        <f t="shared" si="3"/>
        <v>#DIV/0!</v>
      </c>
      <c r="AL19" s="24" t="e">
        <f t="shared" si="4"/>
        <v>#DIV/0!</v>
      </c>
      <c r="AN19" s="119">
        <v>39114</v>
      </c>
    </row>
    <row r="20" spans="1:40" ht="12.75">
      <c r="A20" s="20"/>
      <c r="B20" s="20" t="s">
        <v>446</v>
      </c>
      <c r="C20" s="11"/>
      <c r="D20" s="10" t="s">
        <v>206</v>
      </c>
      <c r="E20" s="102" t="s">
        <v>447</v>
      </c>
      <c r="F20" s="58">
        <v>3</v>
      </c>
      <c r="G20" s="49">
        <v>724.3</v>
      </c>
      <c r="H20" s="31">
        <f t="shared" si="16"/>
        <v>0.004141930139444982</v>
      </c>
      <c r="I20" s="44">
        <f t="shared" si="10"/>
        <v>0.004832251829352478</v>
      </c>
      <c r="J20" s="44"/>
      <c r="K20" s="68">
        <v>0.5</v>
      </c>
      <c r="L20" s="49">
        <f t="shared" si="12"/>
        <v>8.443947193457863</v>
      </c>
      <c r="M20" s="55" t="s">
        <v>13</v>
      </c>
      <c r="N20" s="55" t="s">
        <v>238</v>
      </c>
      <c r="O20" s="15"/>
      <c r="P20" s="56"/>
      <c r="Q20" s="92"/>
      <c r="R20" s="110"/>
      <c r="S20" s="63"/>
      <c r="T20" s="59"/>
      <c r="U20" s="57"/>
      <c r="V20" s="56"/>
      <c r="W20" s="57"/>
      <c r="X20" s="54"/>
      <c r="Y20" s="46"/>
      <c r="AD20" s="26"/>
      <c r="AH20" s="24">
        <f t="shared" si="13"/>
        <v>103.47142857142858</v>
      </c>
      <c r="AI20" s="24">
        <f t="shared" si="14"/>
        <v>0.01856289800250467</v>
      </c>
      <c r="AJ20" s="24">
        <f t="shared" si="11"/>
        <v>0.002198367372179529</v>
      </c>
      <c r="AK20" s="24" t="e">
        <f t="shared" si="3"/>
        <v>#DIV/0!</v>
      </c>
      <c r="AL20" s="24" t="e">
        <f t="shared" si="4"/>
        <v>#DIV/0!</v>
      </c>
      <c r="AN20" s="119">
        <v>39114</v>
      </c>
    </row>
    <row r="21" spans="1:40" ht="25.5">
      <c r="A21" s="46" t="s">
        <v>630</v>
      </c>
      <c r="B21" s="54" t="s">
        <v>631</v>
      </c>
      <c r="C21" s="56">
        <v>0.00097</v>
      </c>
      <c r="D21" s="56" t="s">
        <v>206</v>
      </c>
      <c r="E21" s="101" t="s">
        <v>447</v>
      </c>
      <c r="F21" s="15">
        <v>0</v>
      </c>
      <c r="G21" s="57">
        <v>1269.4</v>
      </c>
      <c r="H21" s="31">
        <f t="shared" si="16"/>
        <v>0</v>
      </c>
      <c r="I21" s="44">
        <f t="shared" si="10"/>
        <v>0.000393886875689302</v>
      </c>
      <c r="J21" s="44"/>
      <c r="K21" s="68"/>
      <c r="L21" s="57"/>
      <c r="M21" s="53" t="s">
        <v>239</v>
      </c>
      <c r="N21" s="55" t="s">
        <v>20</v>
      </c>
      <c r="O21" s="3" t="s">
        <v>463</v>
      </c>
      <c r="P21" s="56">
        <f>I21</f>
        <v>0.000393886875689302</v>
      </c>
      <c r="Q21" s="92">
        <v>0.5</v>
      </c>
      <c r="R21" s="110">
        <f aca="true" t="shared" si="17" ref="R21:R31">Q21/P21</f>
        <v>1269.4</v>
      </c>
      <c r="S21" s="57">
        <f aca="true" t="shared" si="18" ref="S21:S33">AK21/AL21</f>
        <v>8.443947193457864</v>
      </c>
      <c r="T21" s="59">
        <v>0.0004</v>
      </c>
      <c r="U21" s="57">
        <v>0.5</v>
      </c>
      <c r="V21" s="44">
        <f>U21/T21</f>
        <v>1250</v>
      </c>
      <c r="W21" s="49">
        <f>AF21/AG21</f>
        <v>8.443947193457866</v>
      </c>
      <c r="X21" s="54" t="s">
        <v>629</v>
      </c>
      <c r="Y21" s="46" t="s">
        <v>21</v>
      </c>
      <c r="AA21" s="30" t="s">
        <v>259</v>
      </c>
      <c r="AB21" s="30">
        <v>3</v>
      </c>
      <c r="AC21" s="30">
        <v>1277</v>
      </c>
      <c r="AD21" s="26">
        <f t="shared" si="15"/>
        <v>0.0023492560689115116</v>
      </c>
      <c r="AE21" s="14" t="s">
        <v>256</v>
      </c>
      <c r="AF21" s="24">
        <f>GAMMAINV(0.95,U21,1/V21)</f>
        <v>0.0015365836597959013</v>
      </c>
      <c r="AG21" s="24">
        <f>GAMMAINV(0.5,U21,1/V21)</f>
        <v>0.00018197457001938657</v>
      </c>
      <c r="AK21" s="24">
        <f t="shared" si="3"/>
        <v>0.0015131003424806023</v>
      </c>
      <c r="AL21" s="24">
        <f t="shared" si="4"/>
        <v>0.0001791934870996008</v>
      </c>
      <c r="AM21" s="14" t="s">
        <v>530</v>
      </c>
      <c r="AN21" s="119">
        <v>39114</v>
      </c>
    </row>
    <row r="22" spans="1:40" ht="25.5">
      <c r="A22" s="46" t="s">
        <v>508</v>
      </c>
      <c r="B22" s="54" t="s">
        <v>511</v>
      </c>
      <c r="C22" s="56">
        <v>4E-05</v>
      </c>
      <c r="D22" s="56" t="s">
        <v>206</v>
      </c>
      <c r="E22" s="101" t="s">
        <v>507</v>
      </c>
      <c r="F22" s="58"/>
      <c r="G22" s="57"/>
      <c r="H22" s="57"/>
      <c r="I22" s="44"/>
      <c r="J22" s="44"/>
      <c r="K22" s="68"/>
      <c r="L22" s="57"/>
      <c r="M22" s="55"/>
      <c r="N22" s="55"/>
      <c r="O22" s="15" t="s">
        <v>509</v>
      </c>
      <c r="P22" s="56">
        <v>0.000104</v>
      </c>
      <c r="Q22" s="92">
        <v>0.61</v>
      </c>
      <c r="R22" s="110">
        <f t="shared" si="17"/>
        <v>5865.384615384615</v>
      </c>
      <c r="S22" s="57">
        <f t="shared" si="18"/>
        <v>6.719011455237498</v>
      </c>
      <c r="T22" s="59">
        <v>0.0001</v>
      </c>
      <c r="U22" s="57">
        <v>0.6</v>
      </c>
      <c r="V22" s="44">
        <f>U22/T22</f>
        <v>5999.999999999999</v>
      </c>
      <c r="W22" s="49">
        <f>AF22/AG22</f>
        <v>6.83876586327929</v>
      </c>
      <c r="X22" s="54"/>
      <c r="Y22" s="46" t="s">
        <v>242</v>
      </c>
      <c r="AA22" s="30" t="s">
        <v>255</v>
      </c>
      <c r="AB22" s="30">
        <v>6</v>
      </c>
      <c r="AC22" s="30">
        <v>290.1</v>
      </c>
      <c r="AD22" s="26">
        <f t="shared" si="15"/>
        <v>0.020682523267838676</v>
      </c>
      <c r="AE22" s="14" t="s">
        <v>262</v>
      </c>
      <c r="AF22" s="24">
        <f>GAMMAINV(0.95,U22,1/V22)</f>
        <v>0.00035983536323501127</v>
      </c>
      <c r="AG22" s="24">
        <f>GAMMAINV(0.5,U22,1/V22)</f>
        <v>5.2617002896260124E-05</v>
      </c>
      <c r="AK22" s="24">
        <f t="shared" si="3"/>
        <v>0.0003720065061763926</v>
      </c>
      <c r="AL22" s="24">
        <f t="shared" si="4"/>
        <v>5.536625568429593E-05</v>
      </c>
      <c r="AN22" s="119">
        <v>39114</v>
      </c>
    </row>
    <row r="23" spans="1:40" ht="25.5">
      <c r="A23" s="46" t="s">
        <v>510</v>
      </c>
      <c r="B23" s="54" t="s">
        <v>512</v>
      </c>
      <c r="C23" s="56">
        <v>4E-05</v>
      </c>
      <c r="D23" s="56" t="s">
        <v>206</v>
      </c>
      <c r="E23" s="101" t="s">
        <v>507</v>
      </c>
      <c r="F23" s="58"/>
      <c r="G23" s="57"/>
      <c r="H23" s="57"/>
      <c r="I23" s="44"/>
      <c r="J23" s="44"/>
      <c r="K23" s="68"/>
      <c r="L23" s="57"/>
      <c r="M23" s="55"/>
      <c r="N23" s="55"/>
      <c r="O23" s="15" t="s">
        <v>509</v>
      </c>
      <c r="P23" s="56">
        <v>0.00051</v>
      </c>
      <c r="Q23" s="92">
        <v>0.44</v>
      </c>
      <c r="R23" s="110">
        <f>Q23/P23</f>
        <v>862.7450980392156</v>
      </c>
      <c r="S23" s="57">
        <f>AK23/AL23</f>
        <v>9.985034825563941</v>
      </c>
      <c r="T23" s="59">
        <v>0.0005</v>
      </c>
      <c r="U23" s="57">
        <v>0.4</v>
      </c>
      <c r="V23" s="44">
        <f>U23/T23</f>
        <v>800</v>
      </c>
      <c r="W23" s="49">
        <f>AF23/AG23</f>
        <v>11.45563424295539</v>
      </c>
      <c r="X23" s="54"/>
      <c r="Y23" s="46" t="s">
        <v>242</v>
      </c>
      <c r="AA23" s="30" t="s">
        <v>255</v>
      </c>
      <c r="AB23" s="30">
        <v>6</v>
      </c>
      <c r="AC23" s="30">
        <v>290.1</v>
      </c>
      <c r="AD23" s="26">
        <f>AB23/AC23</f>
        <v>0.020682523267838676</v>
      </c>
      <c r="AE23" s="14" t="s">
        <v>262</v>
      </c>
      <c r="AF23" s="24">
        <f>GAMMAINV(0.95,U23,1/V23)</f>
        <v>0.0020774526879755286</v>
      </c>
      <c r="AG23" s="24">
        <f>GAMMAINV(0.5,U23,1/V23)</f>
        <v>0.00018134767957112913</v>
      </c>
      <c r="AK23" s="24">
        <f>GAMMAINV(0.95,Q23,1/R23)</f>
        <v>0.0020497881467530735</v>
      </c>
      <c r="AL23" s="24">
        <f>GAMMAINV(0.5,Q23,1/R23)</f>
        <v>0.00020528602879833264</v>
      </c>
      <c r="AN23" s="119">
        <v>39114</v>
      </c>
    </row>
    <row r="24" spans="1:40" ht="25.5">
      <c r="A24" s="46" t="s">
        <v>269</v>
      </c>
      <c r="B24" s="54" t="s">
        <v>440</v>
      </c>
      <c r="C24" s="56">
        <v>0.0089</v>
      </c>
      <c r="D24" s="56" t="s">
        <v>206</v>
      </c>
      <c r="E24" s="101" t="s">
        <v>447</v>
      </c>
      <c r="F24" s="58">
        <v>1</v>
      </c>
      <c r="G24" s="57">
        <v>1282.4</v>
      </c>
      <c r="H24" s="31">
        <f t="shared" si="16"/>
        <v>0.0007797878976918278</v>
      </c>
      <c r="I24" s="44">
        <f t="shared" si="10"/>
        <v>0.0011696818465377417</v>
      </c>
      <c r="J24" s="44"/>
      <c r="K24" s="68"/>
      <c r="L24" s="57"/>
      <c r="M24" s="53" t="s">
        <v>239</v>
      </c>
      <c r="N24" s="55" t="s">
        <v>20</v>
      </c>
      <c r="O24" s="3" t="s">
        <v>463</v>
      </c>
      <c r="P24" s="31">
        <f>I24</f>
        <v>0.0011696818465377417</v>
      </c>
      <c r="Q24" s="92">
        <v>0.5</v>
      </c>
      <c r="R24" s="110">
        <f t="shared" si="17"/>
        <v>427.4666666666667</v>
      </c>
      <c r="S24" s="57">
        <f t="shared" si="18"/>
        <v>8.443947193457864</v>
      </c>
      <c r="T24" s="59">
        <v>0.0012</v>
      </c>
      <c r="U24" s="57">
        <v>0.5</v>
      </c>
      <c r="V24" s="44">
        <f aca="true" t="shared" si="19" ref="V24:V31">U24/T24</f>
        <v>416.6666666666667</v>
      </c>
      <c r="W24" s="49">
        <f aca="true" t="shared" si="20" ref="W24:W31">AF24/AG24</f>
        <v>8.443947193457864</v>
      </c>
      <c r="X24" s="14" t="s">
        <v>42</v>
      </c>
      <c r="Y24" s="46"/>
      <c r="AA24" s="30" t="s">
        <v>259</v>
      </c>
      <c r="AB24" s="30">
        <v>2</v>
      </c>
      <c r="AC24" s="30">
        <v>863.4</v>
      </c>
      <c r="AD24" s="26">
        <f t="shared" si="15"/>
        <v>0.0023164234422052353</v>
      </c>
      <c r="AE24" s="14" t="s">
        <v>256</v>
      </c>
      <c r="AF24" s="24">
        <f aca="true" t="shared" si="21" ref="AF24:AF31">GAMMAINV(0.95,U24,1/V24)</f>
        <v>0.004609750979387702</v>
      </c>
      <c r="AG24" s="24">
        <f aca="true" t="shared" si="22" ref="AG24:AG31">GAMMAINV(0.5,U24,1/V24)</f>
        <v>0.0005459237100581596</v>
      </c>
      <c r="AK24" s="24">
        <f t="shared" si="3"/>
        <v>0.004493285031374477</v>
      </c>
      <c r="AL24" s="24">
        <f t="shared" si="4"/>
        <v>0.0005321308777079693</v>
      </c>
      <c r="AM24" s="14" t="s">
        <v>531</v>
      </c>
      <c r="AN24" s="119">
        <v>39114</v>
      </c>
    </row>
    <row r="25" spans="1:40" ht="25.5">
      <c r="A25" s="46" t="s">
        <v>633</v>
      </c>
      <c r="B25" s="54" t="s">
        <v>632</v>
      </c>
      <c r="C25" s="56">
        <v>0.0089</v>
      </c>
      <c r="D25" s="56" t="s">
        <v>206</v>
      </c>
      <c r="E25" s="101" t="s">
        <v>447</v>
      </c>
      <c r="F25" s="15">
        <v>2</v>
      </c>
      <c r="G25" s="57">
        <v>1282.385</v>
      </c>
      <c r="H25" s="31">
        <f t="shared" si="16"/>
        <v>0.001559594037671994</v>
      </c>
      <c r="I25" s="44">
        <f t="shared" si="10"/>
        <v>0.0019494925470899924</v>
      </c>
      <c r="J25" s="44"/>
      <c r="K25" s="68"/>
      <c r="L25" s="57"/>
      <c r="M25" s="53" t="s">
        <v>239</v>
      </c>
      <c r="N25" s="55" t="s">
        <v>20</v>
      </c>
      <c r="O25" s="3" t="s">
        <v>463</v>
      </c>
      <c r="P25" s="31">
        <f>I25</f>
        <v>0.0019494925470899924</v>
      </c>
      <c r="Q25" s="92">
        <v>0.5</v>
      </c>
      <c r="R25" s="110">
        <f t="shared" si="17"/>
        <v>256.47700000000003</v>
      </c>
      <c r="S25" s="57">
        <f t="shared" si="18"/>
        <v>8.443947193457868</v>
      </c>
      <c r="T25" s="59">
        <v>0.002</v>
      </c>
      <c r="U25" s="57">
        <v>0.5</v>
      </c>
      <c r="V25" s="44">
        <f t="shared" si="19"/>
        <v>250</v>
      </c>
      <c r="W25" s="49">
        <f t="shared" si="20"/>
        <v>8.443947193457868</v>
      </c>
      <c r="X25" s="14" t="s">
        <v>42</v>
      </c>
      <c r="Y25" s="46"/>
      <c r="AA25" s="30" t="s">
        <v>264</v>
      </c>
      <c r="AB25" s="30">
        <v>2</v>
      </c>
      <c r="AC25" s="30">
        <v>263.5</v>
      </c>
      <c r="AD25" s="26">
        <f t="shared" si="15"/>
        <v>0.007590132827324478</v>
      </c>
      <c r="AE25" s="14" t="s">
        <v>262</v>
      </c>
      <c r="AF25" s="24">
        <f t="shared" si="21"/>
        <v>0.007682918298979508</v>
      </c>
      <c r="AG25" s="24">
        <f t="shared" si="22"/>
        <v>0.0009098728500969329</v>
      </c>
      <c r="AK25" s="24">
        <f t="shared" si="3"/>
        <v>0.007488895981880935</v>
      </c>
      <c r="AL25" s="24">
        <f t="shared" si="4"/>
        <v>0.0008868951700317501</v>
      </c>
      <c r="AM25" s="14" t="s">
        <v>535</v>
      </c>
      <c r="AN25" s="119">
        <v>39114</v>
      </c>
    </row>
    <row r="26" spans="1:40" ht="25.5">
      <c r="A26" s="46" t="s">
        <v>1</v>
      </c>
      <c r="B26" s="54" t="s">
        <v>438</v>
      </c>
      <c r="C26" s="56">
        <v>0.007</v>
      </c>
      <c r="D26" s="56" t="s">
        <v>206</v>
      </c>
      <c r="E26" s="101" t="s">
        <v>447</v>
      </c>
      <c r="F26" s="58">
        <v>2</v>
      </c>
      <c r="G26" s="57">
        <v>706.44</v>
      </c>
      <c r="H26" s="31">
        <f t="shared" si="16"/>
        <v>0.002831096766887492</v>
      </c>
      <c r="I26" s="44">
        <f t="shared" si="10"/>
        <v>0.003538870958609365</v>
      </c>
      <c r="J26" s="44"/>
      <c r="K26" s="68"/>
      <c r="L26" s="57"/>
      <c r="M26" s="55" t="s">
        <v>37</v>
      </c>
      <c r="N26" s="55" t="s">
        <v>20</v>
      </c>
      <c r="O26" s="3" t="s">
        <v>463</v>
      </c>
      <c r="P26" s="31">
        <f>I26</f>
        <v>0.003538870958609365</v>
      </c>
      <c r="Q26" s="92">
        <v>0.5</v>
      </c>
      <c r="R26" s="110">
        <f t="shared" si="17"/>
        <v>141.288</v>
      </c>
      <c r="S26" s="57">
        <f t="shared" si="18"/>
        <v>8.443947193457863</v>
      </c>
      <c r="T26" s="59">
        <v>0.004</v>
      </c>
      <c r="U26" s="57">
        <v>0.5</v>
      </c>
      <c r="V26" s="56">
        <f t="shared" si="19"/>
        <v>125</v>
      </c>
      <c r="W26" s="57">
        <f t="shared" si="20"/>
        <v>8.443947193457868</v>
      </c>
      <c r="X26" s="14"/>
      <c r="Y26" s="46"/>
      <c r="AA26" s="30" t="s">
        <v>265</v>
      </c>
      <c r="AB26" s="30">
        <v>9</v>
      </c>
      <c r="AC26" s="30">
        <v>758.9</v>
      </c>
      <c r="AD26" s="26">
        <f t="shared" si="15"/>
        <v>0.01185926999604691</v>
      </c>
      <c r="AE26" s="14" t="s">
        <v>262</v>
      </c>
      <c r="AF26" s="24">
        <f t="shared" si="21"/>
        <v>0.015365836597959016</v>
      </c>
      <c r="AG26" s="24">
        <f t="shared" si="22"/>
        <v>0.0018197457001938658</v>
      </c>
      <c r="AK26" s="24">
        <f t="shared" si="3"/>
        <v>0.013594428222813516</v>
      </c>
      <c r="AL26" s="24">
        <f t="shared" si="4"/>
        <v>0.0016099613026175842</v>
      </c>
      <c r="AM26" s="14" t="s">
        <v>535</v>
      </c>
      <c r="AN26" s="119">
        <v>39114</v>
      </c>
    </row>
    <row r="27" spans="1:40" ht="38.25">
      <c r="A27" s="50" t="s">
        <v>513</v>
      </c>
      <c r="B27" s="20" t="s">
        <v>514</v>
      </c>
      <c r="C27" s="31">
        <v>0.0005</v>
      </c>
      <c r="D27" s="2" t="s">
        <v>206</v>
      </c>
      <c r="E27" s="101" t="s">
        <v>507</v>
      </c>
      <c r="F27" s="2"/>
      <c r="G27" s="57"/>
      <c r="H27" s="31"/>
      <c r="I27" s="44"/>
      <c r="J27" s="44"/>
      <c r="K27" s="68"/>
      <c r="L27" s="49"/>
      <c r="M27" s="53"/>
      <c r="N27" s="55"/>
      <c r="O27" s="15" t="s">
        <v>509</v>
      </c>
      <c r="P27" s="56">
        <v>0.0005</v>
      </c>
      <c r="Q27" s="91">
        <v>0.78</v>
      </c>
      <c r="R27" s="110">
        <f t="shared" si="17"/>
        <v>1560</v>
      </c>
      <c r="S27" s="57">
        <f t="shared" si="18"/>
        <v>5.292785265092503</v>
      </c>
      <c r="T27" s="51">
        <v>0.0005</v>
      </c>
      <c r="U27" s="49">
        <v>0.8</v>
      </c>
      <c r="V27" s="31">
        <f t="shared" si="19"/>
        <v>1600</v>
      </c>
      <c r="W27" s="49">
        <f t="shared" si="20"/>
        <v>5.1762986266320805</v>
      </c>
      <c r="X27" s="54"/>
      <c r="Y27" s="50"/>
      <c r="AA27" s="30" t="s">
        <v>259</v>
      </c>
      <c r="AB27" s="30">
        <v>5</v>
      </c>
      <c r="AC27" s="30">
        <v>1277</v>
      </c>
      <c r="AD27" s="26">
        <f t="shared" si="15"/>
        <v>0.003915426781519186</v>
      </c>
      <c r="AE27" s="14" t="s">
        <v>266</v>
      </c>
      <c r="AF27" s="24">
        <f t="shared" si="21"/>
        <v>0.0016219648247025906</v>
      </c>
      <c r="AG27" s="24">
        <f t="shared" si="22"/>
        <v>0.0003133445231226757</v>
      </c>
      <c r="AK27" s="24">
        <f t="shared" si="3"/>
        <v>0.0016367942647988157</v>
      </c>
      <c r="AL27" s="24">
        <f t="shared" si="4"/>
        <v>0.00030925007964973793</v>
      </c>
      <c r="AN27" s="119">
        <v>39114</v>
      </c>
    </row>
    <row r="28" spans="1:40" ht="38.25">
      <c r="A28" s="50" t="s">
        <v>515</v>
      </c>
      <c r="B28" s="20" t="s">
        <v>516</v>
      </c>
      <c r="C28" s="31">
        <v>0.0005</v>
      </c>
      <c r="D28" s="2" t="s">
        <v>206</v>
      </c>
      <c r="E28" s="101" t="s">
        <v>447</v>
      </c>
      <c r="F28" s="2">
        <v>0</v>
      </c>
      <c r="G28" s="57">
        <v>866.6</v>
      </c>
      <c r="H28" s="31">
        <f>F28/G28</f>
        <v>0</v>
      </c>
      <c r="I28" s="44">
        <f>(F28+0.5)/G28</f>
        <v>0.0005769674590353104</v>
      </c>
      <c r="J28" s="44"/>
      <c r="K28" s="68"/>
      <c r="L28" s="49"/>
      <c r="M28" s="53" t="s">
        <v>239</v>
      </c>
      <c r="N28" s="55" t="s">
        <v>20</v>
      </c>
      <c r="O28" s="3" t="s">
        <v>463</v>
      </c>
      <c r="P28" s="56">
        <f>I28</f>
        <v>0.0005769674590353104</v>
      </c>
      <c r="Q28" s="91">
        <v>0.5</v>
      </c>
      <c r="R28" s="110">
        <f>Q28/P28</f>
        <v>866.6</v>
      </c>
      <c r="S28" s="57">
        <f>AK28/AL28</f>
        <v>8.443947193457864</v>
      </c>
      <c r="T28" s="51">
        <v>0.0006</v>
      </c>
      <c r="U28" s="49">
        <v>0.5</v>
      </c>
      <c r="V28" s="31">
        <f>U28/T28</f>
        <v>833.3333333333334</v>
      </c>
      <c r="W28" s="49">
        <f>AF28/AG28</f>
        <v>8.443947193457864</v>
      </c>
      <c r="X28" s="54" t="s">
        <v>450</v>
      </c>
      <c r="Y28" s="50"/>
      <c r="AA28" s="30" t="s">
        <v>259</v>
      </c>
      <c r="AB28" s="30">
        <v>5</v>
      </c>
      <c r="AC28" s="30">
        <v>1277</v>
      </c>
      <c r="AD28" s="26">
        <f>AB28/AC28</f>
        <v>0.003915426781519186</v>
      </c>
      <c r="AE28" s="14" t="s">
        <v>266</v>
      </c>
      <c r="AF28" s="24">
        <f>GAMMAINV(0.95,U28,1/V28)</f>
        <v>0.002304875489693851</v>
      </c>
      <c r="AG28" s="24">
        <f>GAMMAINV(0.5,U28,1/V28)</f>
        <v>0.0002729618550290798</v>
      </c>
      <c r="AK28" s="24">
        <f>GAMMAINV(0.95,Q28,1/R28)</f>
        <v>0.002216396924469047</v>
      </c>
      <c r="AL28" s="24">
        <f>GAMMAINV(0.5,Q28,1/R28)</f>
        <v>0.00026248351318282164</v>
      </c>
      <c r="AM28" s="14" t="s">
        <v>530</v>
      </c>
      <c r="AN28" s="119">
        <v>39114</v>
      </c>
    </row>
    <row r="29" spans="1:40" ht="25.5">
      <c r="A29" s="20" t="s">
        <v>202</v>
      </c>
      <c r="B29" s="20" t="s">
        <v>436</v>
      </c>
      <c r="C29" s="11">
        <v>0.0463</v>
      </c>
      <c r="D29" s="10" t="s">
        <v>206</v>
      </c>
      <c r="E29" s="101" t="s">
        <v>447</v>
      </c>
      <c r="F29" s="2">
        <v>6</v>
      </c>
      <c r="G29" s="49">
        <v>291.679</v>
      </c>
      <c r="H29" s="31">
        <f t="shared" si="16"/>
        <v>0.02057055873065939</v>
      </c>
      <c r="I29" s="44">
        <f t="shared" si="10"/>
        <v>0.02228477195821434</v>
      </c>
      <c r="J29" s="44"/>
      <c r="K29" s="68"/>
      <c r="L29" s="49"/>
      <c r="M29" s="53" t="s">
        <v>237</v>
      </c>
      <c r="N29" s="55" t="s">
        <v>20</v>
      </c>
      <c r="O29" s="3" t="s">
        <v>524</v>
      </c>
      <c r="P29" s="31">
        <f>I29</f>
        <v>0.02228477195821434</v>
      </c>
      <c r="Q29" s="91">
        <v>6.5</v>
      </c>
      <c r="R29" s="110">
        <f t="shared" si="17"/>
        <v>291.679</v>
      </c>
      <c r="S29" s="57">
        <f t="shared" si="18"/>
        <v>1.812194037816178</v>
      </c>
      <c r="T29" s="59">
        <v>0.02</v>
      </c>
      <c r="U29" s="49">
        <v>6</v>
      </c>
      <c r="V29" s="31">
        <f t="shared" si="19"/>
        <v>300</v>
      </c>
      <c r="W29" s="49">
        <f t="shared" si="20"/>
        <v>1.8540979961658548</v>
      </c>
      <c r="X29" s="14"/>
      <c r="Y29" s="50"/>
      <c r="AA29" s="30" t="s">
        <v>259</v>
      </c>
      <c r="AB29" s="30">
        <v>3</v>
      </c>
      <c r="AC29" s="30">
        <v>863.4</v>
      </c>
      <c r="AD29" s="26">
        <f t="shared" si="15"/>
        <v>0.0034746351633078527</v>
      </c>
      <c r="AE29" s="14" t="s">
        <v>256</v>
      </c>
      <c r="AF29" s="24">
        <f t="shared" si="21"/>
        <v>0.03504344969683411</v>
      </c>
      <c r="AG29" s="24">
        <f t="shared" si="22"/>
        <v>0.018900538034829613</v>
      </c>
      <c r="AK29" s="24">
        <f t="shared" si="3"/>
        <v>0.03833329190066083</v>
      </c>
      <c r="AL29" s="24">
        <f t="shared" si="4"/>
        <v>0.0211529731920182</v>
      </c>
      <c r="AM29" s="14" t="s">
        <v>538</v>
      </c>
      <c r="AN29" s="119">
        <v>39114</v>
      </c>
    </row>
    <row r="30" spans="1:40" ht="25.5">
      <c r="A30" s="50" t="s">
        <v>203</v>
      </c>
      <c r="B30" s="20" t="s">
        <v>437</v>
      </c>
      <c r="C30" s="11">
        <v>0.00632</v>
      </c>
      <c r="D30" s="10" t="s">
        <v>206</v>
      </c>
      <c r="E30" s="101" t="s">
        <v>447</v>
      </c>
      <c r="F30" s="2">
        <v>2</v>
      </c>
      <c r="G30" s="49">
        <v>866.578</v>
      </c>
      <c r="H30" s="31">
        <f t="shared" si="16"/>
        <v>0.0023079284265236366</v>
      </c>
      <c r="I30" s="44">
        <f t="shared" si="10"/>
        <v>0.0028849105331545458</v>
      </c>
      <c r="J30" s="44"/>
      <c r="K30" s="68"/>
      <c r="L30" s="49"/>
      <c r="M30" s="53" t="s">
        <v>239</v>
      </c>
      <c r="N30" s="55" t="s">
        <v>20</v>
      </c>
      <c r="O30" s="3" t="s">
        <v>463</v>
      </c>
      <c r="P30" s="31">
        <f>I30</f>
        <v>0.0028849105331545458</v>
      </c>
      <c r="Q30" s="91">
        <v>0.5</v>
      </c>
      <c r="R30" s="110">
        <f t="shared" si="17"/>
        <v>173.3156</v>
      </c>
      <c r="S30" s="57">
        <f t="shared" si="18"/>
        <v>8.443947193457866</v>
      </c>
      <c r="T30" s="51">
        <v>0.003</v>
      </c>
      <c r="U30" s="49">
        <v>0.5</v>
      </c>
      <c r="V30" s="31">
        <f t="shared" si="19"/>
        <v>166.66666666666666</v>
      </c>
      <c r="W30" s="49">
        <f t="shared" si="20"/>
        <v>8.443947193457866</v>
      </c>
      <c r="X30" s="14"/>
      <c r="Y30" s="50"/>
      <c r="AF30" s="24">
        <f t="shared" si="21"/>
        <v>0.01152437744846926</v>
      </c>
      <c r="AG30" s="24">
        <f t="shared" si="22"/>
        <v>0.0013648092751453993</v>
      </c>
      <c r="AK30" s="24">
        <f t="shared" si="3"/>
        <v>0.011082265963045894</v>
      </c>
      <c r="AL30" s="24">
        <f t="shared" si="4"/>
        <v>0.0013124508845379947</v>
      </c>
      <c r="AM30" s="14" t="s">
        <v>535</v>
      </c>
      <c r="AN30" s="119">
        <v>39114</v>
      </c>
    </row>
    <row r="31" spans="1:40" ht="25.5">
      <c r="A31" s="20" t="s">
        <v>197</v>
      </c>
      <c r="B31" s="20" t="s">
        <v>432</v>
      </c>
      <c r="C31" s="44">
        <v>1.5</v>
      </c>
      <c r="D31" s="15" t="s">
        <v>206</v>
      </c>
      <c r="E31" s="101" t="s">
        <v>447</v>
      </c>
      <c r="F31" s="15">
        <v>149</v>
      </c>
      <c r="G31" s="45">
        <v>180.165</v>
      </c>
      <c r="H31" s="31">
        <f t="shared" si="16"/>
        <v>0.8270196764077374</v>
      </c>
      <c r="I31" s="44">
        <f t="shared" si="10"/>
        <v>0.8297949102211861</v>
      </c>
      <c r="J31" s="44"/>
      <c r="K31" s="68"/>
      <c r="L31" s="45"/>
      <c r="M31" s="46" t="s">
        <v>234</v>
      </c>
      <c r="N31" s="55" t="s">
        <v>20</v>
      </c>
      <c r="O31" s="3" t="s">
        <v>524</v>
      </c>
      <c r="P31" s="31">
        <f>I31</f>
        <v>0.8297949102211861</v>
      </c>
      <c r="Q31" s="90">
        <v>149.5</v>
      </c>
      <c r="R31" s="110">
        <f t="shared" si="17"/>
        <v>180.165</v>
      </c>
      <c r="S31" s="57">
        <f t="shared" si="18"/>
        <v>1.1407626628756955</v>
      </c>
      <c r="T31" s="47">
        <v>0.8</v>
      </c>
      <c r="U31" s="45">
        <v>150</v>
      </c>
      <c r="V31" s="44">
        <f t="shared" si="19"/>
        <v>187.5</v>
      </c>
      <c r="W31" s="45">
        <f t="shared" si="20"/>
        <v>1.1405171149957696</v>
      </c>
      <c r="X31" s="80"/>
      <c r="Y31" s="46"/>
      <c r="AF31" s="24">
        <f t="shared" si="21"/>
        <v>0.9103869665444231</v>
      </c>
      <c r="AG31" s="24">
        <f t="shared" si="22"/>
        <v>0.7982229767308664</v>
      </c>
      <c r="AK31" s="24">
        <f t="shared" si="3"/>
        <v>0.9444893588913041</v>
      </c>
      <c r="AL31" s="24">
        <f t="shared" si="4"/>
        <v>0.827945539969186</v>
      </c>
      <c r="AM31" s="14" t="s">
        <v>536</v>
      </c>
      <c r="AN31" s="119">
        <v>39114</v>
      </c>
    </row>
    <row r="32" spans="1:40" ht="25.5">
      <c r="A32" s="46" t="s">
        <v>196</v>
      </c>
      <c r="B32" s="20" t="s">
        <v>433</v>
      </c>
      <c r="C32" s="44">
        <v>1.2</v>
      </c>
      <c r="D32" s="15" t="s">
        <v>206</v>
      </c>
      <c r="E32" s="101" t="s">
        <v>447</v>
      </c>
      <c r="F32" s="15">
        <v>228</v>
      </c>
      <c r="G32" s="45">
        <v>304.027</v>
      </c>
      <c r="H32" s="56">
        <f>F32/G32</f>
        <v>0.7499333940735528</v>
      </c>
      <c r="I32" s="44">
        <f>(F32+0.5)/G32</f>
        <v>0.7515779848500298</v>
      </c>
      <c r="J32" s="44">
        <v>0.751</v>
      </c>
      <c r="K32" s="68">
        <v>69.239</v>
      </c>
      <c r="L32" s="57">
        <f>AI32/AJ32</f>
        <v>1.2113660241748867</v>
      </c>
      <c r="M32" s="46" t="s">
        <v>235</v>
      </c>
      <c r="N32" s="46"/>
      <c r="O32" s="15" t="s">
        <v>348</v>
      </c>
      <c r="P32" s="56">
        <f>J32</f>
        <v>0.751</v>
      </c>
      <c r="Q32" s="90">
        <v>17.772</v>
      </c>
      <c r="R32" s="110">
        <f>Q32/P32</f>
        <v>23.66444740346205</v>
      </c>
      <c r="S32" s="57">
        <f t="shared" si="18"/>
        <v>1.4464944646669402</v>
      </c>
      <c r="T32" s="47">
        <v>0.8</v>
      </c>
      <c r="U32" s="45">
        <v>20</v>
      </c>
      <c r="V32" s="56">
        <f>U32/T32</f>
        <v>25</v>
      </c>
      <c r="W32" s="57">
        <f>AF32/AG32</f>
        <v>1.4175159268214534</v>
      </c>
      <c r="X32" s="54"/>
      <c r="Y32" s="46"/>
      <c r="Z32" s="62"/>
      <c r="AA32" s="84">
        <f>GAMMAINV(0.95,0.29,1/725)</f>
        <v>0.0018497017109920938</v>
      </c>
      <c r="AB32" s="62" t="s">
        <v>245</v>
      </c>
      <c r="AC32" s="62"/>
      <c r="AD32" s="62"/>
      <c r="AE32" s="54"/>
      <c r="AF32" s="85">
        <f>GAMMAINV(0.95,U32,1/V32)</f>
        <v>1.115169586470481</v>
      </c>
      <c r="AG32" s="85">
        <f>GAMMAINV(0.5,U32,1/V32)</f>
        <v>0.7867069183279412</v>
      </c>
      <c r="AH32" s="85">
        <f>K32/I32</f>
        <v>92.12483786870898</v>
      </c>
      <c r="AI32" s="85">
        <f>GAMMAINV(0.95,K32,1/AH32)</f>
        <v>0.9060567814798413</v>
      </c>
      <c r="AJ32" s="85">
        <f>GAMMAINV(0.5,K32,1/AH32)</f>
        <v>0.7479628480557685</v>
      </c>
      <c r="AK32" s="24">
        <f t="shared" si="3"/>
        <v>1.0660116664481545</v>
      </c>
      <c r="AL32" s="24">
        <f t="shared" si="4"/>
        <v>0.736962147099268</v>
      </c>
      <c r="AM32" s="14" t="s">
        <v>537</v>
      </c>
      <c r="AN32" s="119">
        <v>39114</v>
      </c>
    </row>
    <row r="33" spans="1:40" ht="25.5">
      <c r="A33" s="72" t="s">
        <v>38</v>
      </c>
      <c r="B33" s="41" t="s">
        <v>39</v>
      </c>
      <c r="C33" s="72"/>
      <c r="D33" s="72" t="s">
        <v>206</v>
      </c>
      <c r="E33" s="103" t="s">
        <v>447</v>
      </c>
      <c r="F33" s="4">
        <v>1</v>
      </c>
      <c r="G33" s="73">
        <v>965.778</v>
      </c>
      <c r="H33" s="69">
        <f>F33/G33</f>
        <v>0.00103543464440068</v>
      </c>
      <c r="I33" s="7">
        <f>(F33+0.5)/G33</f>
        <v>0.0015531519666010202</v>
      </c>
      <c r="J33" s="7"/>
      <c r="K33" s="4"/>
      <c r="L33" s="4"/>
      <c r="M33" s="72" t="s">
        <v>40</v>
      </c>
      <c r="N33" s="79" t="s">
        <v>20</v>
      </c>
      <c r="O33" s="5" t="s">
        <v>463</v>
      </c>
      <c r="P33" s="69">
        <f>I33</f>
        <v>0.0015531519666010202</v>
      </c>
      <c r="Q33" s="93">
        <v>0.5</v>
      </c>
      <c r="R33" s="112">
        <f>Q33/P33</f>
        <v>321.926</v>
      </c>
      <c r="S33" s="73">
        <f t="shared" si="18"/>
        <v>8.443947193457864</v>
      </c>
      <c r="T33" s="69">
        <v>0.0015</v>
      </c>
      <c r="U33" s="73">
        <v>0.5</v>
      </c>
      <c r="V33" s="69">
        <f>U33/T33</f>
        <v>333.3333333333333</v>
      </c>
      <c r="W33" s="73">
        <f>AF33/AG33</f>
        <v>8.443947193457866</v>
      </c>
      <c r="X33" s="41"/>
      <c r="Y33" s="72"/>
      <c r="AE33" s="30"/>
      <c r="AF33" s="30">
        <f>GAMMAINV(0.95,U33,1/V33)</f>
        <v>0.00576218872423463</v>
      </c>
      <c r="AG33" s="30">
        <f>GAMMAINV(0.5,U33,1/V33)</f>
        <v>0.0006824046375726997</v>
      </c>
      <c r="AK33" s="24">
        <f t="shared" si="3"/>
        <v>0.005966369832647492</v>
      </c>
      <c r="AL33" s="24">
        <f t="shared" si="4"/>
        <v>0.0007065854032424633</v>
      </c>
      <c r="AM33" s="14" t="s">
        <v>531</v>
      </c>
      <c r="AN33" s="120">
        <v>39114</v>
      </c>
    </row>
    <row r="34" spans="1:24" ht="12.75">
      <c r="A34" s="121" t="s">
        <v>2</v>
      </c>
      <c r="B34" s="122"/>
      <c r="C34" s="122"/>
      <c r="D34" s="122"/>
      <c r="E34" s="122"/>
      <c r="F34" s="122"/>
      <c r="G34" s="122"/>
      <c r="H34" s="122"/>
      <c r="I34" s="122"/>
      <c r="J34" s="122"/>
      <c r="K34" s="122"/>
      <c r="L34" s="122"/>
      <c r="M34" s="122"/>
      <c r="N34" s="122"/>
      <c r="O34" s="122"/>
      <c r="P34" s="122"/>
      <c r="Q34" s="122"/>
      <c r="R34" s="122"/>
      <c r="S34" s="122"/>
      <c r="T34" s="122"/>
      <c r="U34" s="122"/>
      <c r="V34" s="122"/>
      <c r="W34" s="122"/>
      <c r="X34" s="122"/>
    </row>
    <row r="35" spans="1:24" ht="12.75">
      <c r="A35" s="124" t="s">
        <v>754</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row>
    <row r="36" spans="1:24" ht="12.75">
      <c r="A36" s="123" t="s">
        <v>737</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row>
    <row r="37" spans="1:24" ht="12.75">
      <c r="A37" s="135" t="s">
        <v>738</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row>
    <row r="38" spans="1:24" ht="12.75">
      <c r="A38" s="135" t="s">
        <v>739</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row>
    <row r="39" spans="1:19" ht="12.75">
      <c r="A39" s="29"/>
      <c r="R39" s="113"/>
      <c r="S39" s="1"/>
    </row>
    <row r="40" spans="1:19" ht="12.75">
      <c r="A40" s="29"/>
      <c r="R40" s="113"/>
      <c r="S40" s="1"/>
    </row>
    <row r="41" spans="18:19" ht="12.75">
      <c r="R41" s="113"/>
      <c r="S41" s="1"/>
    </row>
    <row r="42" spans="18:19" ht="12.75">
      <c r="R42" s="113"/>
      <c r="S42" s="1"/>
    </row>
    <row r="43" spans="18:19" ht="12.75">
      <c r="R43" s="113"/>
      <c r="S43" s="1"/>
    </row>
    <row r="44" spans="18:19" ht="12.75">
      <c r="R44" s="113"/>
      <c r="S44" s="1"/>
    </row>
    <row r="45" spans="18:19" ht="12.75">
      <c r="R45" s="113"/>
      <c r="S45" s="1"/>
    </row>
    <row r="46" spans="18:19" ht="12.75">
      <c r="R46" s="113"/>
      <c r="S46" s="1"/>
    </row>
    <row r="47" spans="18:19" ht="12.75">
      <c r="R47" s="113"/>
      <c r="S47" s="1"/>
    </row>
    <row r="48" spans="18:19" ht="12.75">
      <c r="R48" s="113"/>
      <c r="S48" s="1"/>
    </row>
    <row r="49" spans="18:19" ht="12.75">
      <c r="R49" s="113"/>
      <c r="S49" s="1"/>
    </row>
    <row r="50" spans="18:19" ht="12.75">
      <c r="R50" s="113"/>
      <c r="S50" s="1"/>
    </row>
    <row r="51" spans="18:19" ht="12.75">
      <c r="R51" s="113"/>
      <c r="S51" s="1"/>
    </row>
  </sheetData>
  <mergeCells count="16">
    <mergeCell ref="C4:D4"/>
    <mergeCell ref="AA4:AE4"/>
    <mergeCell ref="F4:N4"/>
    <mergeCell ref="E4:E5"/>
    <mergeCell ref="Y4:Y5"/>
    <mergeCell ref="O4:W4"/>
    <mergeCell ref="AN4:AN5"/>
    <mergeCell ref="A38:X38"/>
    <mergeCell ref="X4:X5"/>
    <mergeCell ref="A34:X34"/>
    <mergeCell ref="A36:X36"/>
    <mergeCell ref="A37:X37"/>
    <mergeCell ref="A35:X35"/>
    <mergeCell ref="AM4:AM5"/>
    <mergeCell ref="B4:B5"/>
    <mergeCell ref="A4:A5"/>
  </mergeCells>
  <printOptions/>
  <pageMargins left="0.75" right="0.75" top="1" bottom="1" header="0.5" footer="0.5"/>
  <pageSetup fitToHeight="1" fitToWidth="1" horizontalDpi="600" verticalDpi="600" orientation="landscape" scale="48" r:id="rId1"/>
  <colBreaks count="1" manualBreakCount="1">
    <brk id="2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AF47"/>
  <sheetViews>
    <sheetView tabSelected="1" zoomScale="75" zoomScaleNormal="75" workbookViewId="0" topLeftCell="A1">
      <selection activeCell="A2" sqref="A2"/>
    </sheetView>
  </sheetViews>
  <sheetFormatPr defaultColWidth="9.140625" defaultRowHeight="12.75"/>
  <cols>
    <col min="1" max="1" width="14.57421875" style="30" customWidth="1"/>
    <col min="2" max="2" width="26.421875" style="14" customWidth="1"/>
    <col min="3" max="3" width="9.28125" style="2" customWidth="1"/>
    <col min="4" max="4" width="9.28125" style="52" hidden="1" customWidth="1"/>
    <col min="5" max="5" width="12.421875" style="30" hidden="1" customWidth="1"/>
    <col min="6" max="6" width="12.8515625" style="30" hidden="1" customWidth="1"/>
    <col min="7" max="7" width="12.00390625" style="30" hidden="1" customWidth="1"/>
    <col min="8" max="8" width="9.421875" style="30" hidden="1" customWidth="1"/>
    <col min="9" max="9" width="39.8515625" style="30" hidden="1" customWidth="1"/>
    <col min="10" max="10" width="23.8515625" style="30" hidden="1" customWidth="1"/>
    <col min="11" max="11" width="10.28125" style="24" bestFit="1" customWidth="1"/>
    <col min="12" max="12" width="7.57421875" style="88" bestFit="1" customWidth="1"/>
    <col min="13" max="13" width="11.57421875" style="108" bestFit="1" customWidth="1"/>
    <col min="14" max="14" width="7.140625" style="25" customWidth="1"/>
    <col min="15" max="15" width="10.57421875" style="24" customWidth="1"/>
    <col min="16" max="16" width="9.28125" style="88" customWidth="1"/>
    <col min="17" max="17" width="10.7109375" style="108" customWidth="1"/>
    <col min="18" max="18" width="7.00390625" style="24" customWidth="1"/>
    <col min="19" max="19" width="15.57421875" style="24" customWidth="1"/>
    <col min="20" max="20" width="43.421875" style="24" customWidth="1"/>
    <col min="21" max="21" width="27.421875" style="30" hidden="1" customWidth="1"/>
    <col min="22" max="22" width="9.140625" style="30" hidden="1" customWidth="1"/>
    <col min="23" max="23" width="10.28125" style="24" hidden="1" customWidth="1"/>
    <col min="24" max="24" width="8.28125" style="24" hidden="1" customWidth="1"/>
    <col min="25" max="27" width="0" style="30" hidden="1" customWidth="1"/>
    <col min="28" max="16384" width="9.140625" style="30" customWidth="1"/>
  </cols>
  <sheetData>
    <row r="1" ht="12.75">
      <c r="A1" s="30" t="s">
        <v>622</v>
      </c>
    </row>
    <row r="2" ht="12.75">
      <c r="A2" s="27"/>
    </row>
    <row r="4" spans="1:28" ht="12.75" customHeight="1">
      <c r="A4" s="129" t="s">
        <v>572</v>
      </c>
      <c r="B4" s="129" t="s">
        <v>571</v>
      </c>
      <c r="C4" s="129" t="s">
        <v>175</v>
      </c>
      <c r="D4" s="131" t="s">
        <v>329</v>
      </c>
      <c r="E4" s="151"/>
      <c r="F4" s="151"/>
      <c r="G4" s="151"/>
      <c r="H4" s="151"/>
      <c r="I4" s="151"/>
      <c r="J4" s="4" t="s">
        <v>33</v>
      </c>
      <c r="K4" s="134" t="s">
        <v>619</v>
      </c>
      <c r="L4" s="134"/>
      <c r="M4" s="134"/>
      <c r="N4" s="134"/>
      <c r="O4" s="134" t="s">
        <v>620</v>
      </c>
      <c r="P4" s="156"/>
      <c r="Q4" s="156"/>
      <c r="R4" s="156"/>
      <c r="S4" s="157" t="s">
        <v>621</v>
      </c>
      <c r="T4" s="142" t="s">
        <v>658</v>
      </c>
      <c r="AB4" s="129" t="s">
        <v>755</v>
      </c>
    </row>
    <row r="5" spans="1:28" ht="39.75" customHeight="1">
      <c r="A5" s="154"/>
      <c r="B5" s="153"/>
      <c r="C5" s="153"/>
      <c r="D5" s="118" t="s">
        <v>565</v>
      </c>
      <c r="E5" s="5" t="s">
        <v>566</v>
      </c>
      <c r="F5" s="5" t="s">
        <v>567</v>
      </c>
      <c r="G5" s="5" t="s">
        <v>568</v>
      </c>
      <c r="H5" s="5" t="s">
        <v>293</v>
      </c>
      <c r="I5" s="6" t="s">
        <v>211</v>
      </c>
      <c r="J5" s="5" t="s">
        <v>32</v>
      </c>
      <c r="K5" s="7" t="s">
        <v>174</v>
      </c>
      <c r="L5" s="116" t="s">
        <v>518</v>
      </c>
      <c r="M5" s="109" t="s">
        <v>519</v>
      </c>
      <c r="N5" s="8" t="s">
        <v>212</v>
      </c>
      <c r="O5" s="7" t="s">
        <v>174</v>
      </c>
      <c r="P5" s="116" t="s">
        <v>518</v>
      </c>
      <c r="Q5" s="109" t="s">
        <v>519</v>
      </c>
      <c r="R5" s="8" t="s">
        <v>212</v>
      </c>
      <c r="S5" s="156"/>
      <c r="T5" s="151"/>
      <c r="U5" s="4" t="s">
        <v>185</v>
      </c>
      <c r="W5" s="83" t="s">
        <v>15</v>
      </c>
      <c r="X5" s="12" t="s">
        <v>270</v>
      </c>
      <c r="Z5" s="83" t="s">
        <v>15</v>
      </c>
      <c r="AA5" s="12" t="s">
        <v>270</v>
      </c>
      <c r="AB5" s="141"/>
    </row>
    <row r="6" spans="1:28" ht="25.5" customHeight="1" hidden="1">
      <c r="A6" s="20" t="s">
        <v>176</v>
      </c>
      <c r="B6" s="20" t="s">
        <v>271</v>
      </c>
      <c r="C6" s="11" t="s">
        <v>291</v>
      </c>
      <c r="D6" s="19"/>
      <c r="E6" s="10"/>
      <c r="F6" s="10"/>
      <c r="G6" s="10"/>
      <c r="H6" s="12">
        <v>0.00248</v>
      </c>
      <c r="I6" s="2" t="s">
        <v>296</v>
      </c>
      <c r="J6" s="16" t="s">
        <v>615</v>
      </c>
      <c r="K6" s="12">
        <v>0.00248</v>
      </c>
      <c r="L6" s="96">
        <v>0.5</v>
      </c>
      <c r="M6" s="114">
        <f aca="true" t="shared" si="0" ref="M6:M41">L6*(1-K6)/K6</f>
        <v>201.11290322580643</v>
      </c>
      <c r="N6" s="13">
        <f aca="true" t="shared" si="1" ref="N6:N41">Z6/AA6</f>
        <v>8.408427386042348</v>
      </c>
      <c r="O6" s="12">
        <v>0.0025</v>
      </c>
      <c r="P6" s="96">
        <v>0.5</v>
      </c>
      <c r="Q6" s="114">
        <f aca="true" t="shared" si="2" ref="Q6:Q41">P6*(1-O6)/O6</f>
        <v>199.5</v>
      </c>
      <c r="R6" s="13">
        <f aca="true" t="shared" si="3" ref="R6:R41">W6/X6</f>
        <v>8.408179523764435</v>
      </c>
      <c r="S6" s="13"/>
      <c r="T6" s="13"/>
      <c r="U6" s="3" t="s">
        <v>209</v>
      </c>
      <c r="V6" s="2"/>
      <c r="W6" s="31">
        <f aca="true" t="shared" si="4" ref="W6:W41">BETAINV(0.95,P6,Q6)</f>
        <v>0.009593486785888672</v>
      </c>
      <c r="X6" s="31">
        <f aca="true" t="shared" si="5" ref="X6:X41">BETAINV(0.5,P6,Q6)</f>
        <v>0.0011409707367420197</v>
      </c>
      <c r="Z6" s="31">
        <f aca="true" t="shared" si="6" ref="Z6:Z41">BETAINV(0.95,L6,M6)</f>
        <v>0.009516775608062744</v>
      </c>
      <c r="AA6" s="31">
        <f aca="true" t="shared" si="7" ref="AA6:AA41">BETAINV(0.5,L6,M6)</f>
        <v>0.0011318139731884003</v>
      </c>
      <c r="AB6" s="119">
        <v>39114</v>
      </c>
    </row>
    <row r="7" spans="1:28" ht="25.5" customHeight="1" hidden="1">
      <c r="A7" s="20" t="s">
        <v>184</v>
      </c>
      <c r="B7" s="20" t="s">
        <v>272</v>
      </c>
      <c r="C7" s="11" t="s">
        <v>291</v>
      </c>
      <c r="D7" s="19"/>
      <c r="E7" s="10"/>
      <c r="F7" s="10"/>
      <c r="G7" s="10"/>
      <c r="H7" s="12">
        <v>0.000215</v>
      </c>
      <c r="I7" s="3" t="s">
        <v>295</v>
      </c>
      <c r="J7" s="16" t="s">
        <v>615</v>
      </c>
      <c r="K7" s="12">
        <v>0.000215</v>
      </c>
      <c r="L7" s="96">
        <v>0.5</v>
      </c>
      <c r="M7" s="114">
        <f t="shared" si="0"/>
        <v>2325.0813953488373</v>
      </c>
      <c r="N7" s="13">
        <f t="shared" si="1"/>
        <v>8.440844145336163</v>
      </c>
      <c r="O7" s="12">
        <v>0.0002</v>
      </c>
      <c r="P7" s="96">
        <v>0.5</v>
      </c>
      <c r="Q7" s="114">
        <f t="shared" si="2"/>
        <v>2499.5</v>
      </c>
      <c r="R7" s="13">
        <f t="shared" si="3"/>
        <v>8.441068646437461</v>
      </c>
      <c r="S7" s="13"/>
      <c r="T7" s="13"/>
      <c r="U7" s="3" t="s">
        <v>209</v>
      </c>
      <c r="V7" s="2"/>
      <c r="W7" s="31">
        <f t="shared" si="4"/>
        <v>0.0007682256400585175</v>
      </c>
      <c r="X7" s="31">
        <f t="shared" si="5"/>
        <v>9.101047180593014E-05</v>
      </c>
      <c r="Z7" s="31">
        <f t="shared" si="6"/>
        <v>0.000825837254524231</v>
      </c>
      <c r="AA7" s="31">
        <f t="shared" si="7"/>
        <v>9.783823043107986E-05</v>
      </c>
      <c r="AB7" s="119">
        <v>39114</v>
      </c>
    </row>
    <row r="8" spans="1:28" ht="25.5" customHeight="1" hidden="1">
      <c r="A8" s="20" t="s">
        <v>233</v>
      </c>
      <c r="B8" s="20" t="s">
        <v>274</v>
      </c>
      <c r="C8" s="11" t="s">
        <v>291</v>
      </c>
      <c r="D8" s="19"/>
      <c r="E8" s="10"/>
      <c r="F8" s="10"/>
      <c r="G8" s="10"/>
      <c r="H8" s="12">
        <v>0.0022</v>
      </c>
      <c r="I8" s="3" t="s">
        <v>297</v>
      </c>
      <c r="J8" s="16" t="s">
        <v>615</v>
      </c>
      <c r="K8" s="12">
        <v>0.0022</v>
      </c>
      <c r="L8" s="96">
        <v>0.5</v>
      </c>
      <c r="M8" s="114">
        <f t="shared" si="0"/>
        <v>226.77272727272725</v>
      </c>
      <c r="N8" s="13">
        <f t="shared" si="1"/>
        <v>8.412455622344996</v>
      </c>
      <c r="O8" s="12">
        <v>0.002</v>
      </c>
      <c r="P8" s="96">
        <v>0.5</v>
      </c>
      <c r="Q8" s="114">
        <f t="shared" si="2"/>
        <v>249.5</v>
      </c>
      <c r="R8" s="13">
        <f t="shared" si="3"/>
        <v>8.415347232148326</v>
      </c>
      <c r="S8" s="13"/>
      <c r="T8" s="13"/>
      <c r="U8" s="3" t="s">
        <v>209</v>
      </c>
      <c r="V8" s="2"/>
      <c r="W8" s="31">
        <f t="shared" si="4"/>
        <v>0.007676422595977783</v>
      </c>
      <c r="X8" s="31">
        <f t="shared" si="5"/>
        <v>0.0009121932089328766</v>
      </c>
      <c r="Z8" s="31">
        <f t="shared" si="6"/>
        <v>0.008443325757980347</v>
      </c>
      <c r="AA8" s="31">
        <f t="shared" si="7"/>
        <v>0.0010036695748567581</v>
      </c>
      <c r="AB8" s="119">
        <v>39114</v>
      </c>
    </row>
    <row r="9" spans="1:28" ht="51" customHeight="1" hidden="1">
      <c r="A9" s="20" t="s">
        <v>177</v>
      </c>
      <c r="B9" s="20" t="s">
        <v>273</v>
      </c>
      <c r="C9" s="11" t="s">
        <v>291</v>
      </c>
      <c r="D9" s="19"/>
      <c r="E9" s="10"/>
      <c r="F9" s="10"/>
      <c r="G9" s="10"/>
      <c r="H9" s="12">
        <v>0.0395</v>
      </c>
      <c r="I9" s="3" t="s">
        <v>306</v>
      </c>
      <c r="J9" s="16" t="s">
        <v>520</v>
      </c>
      <c r="K9" s="12">
        <f>H9/2</f>
        <v>0.01975</v>
      </c>
      <c r="L9" s="96">
        <v>0.5</v>
      </c>
      <c r="M9" s="114">
        <f t="shared" si="0"/>
        <v>24.81645569620253</v>
      </c>
      <c r="N9" s="13">
        <f t="shared" si="1"/>
        <v>8.159514678014991</v>
      </c>
      <c r="O9" s="12">
        <v>0.02</v>
      </c>
      <c r="P9" s="96">
        <v>0.5</v>
      </c>
      <c r="Q9" s="114">
        <f t="shared" si="2"/>
        <v>24.5</v>
      </c>
      <c r="R9" s="13">
        <f t="shared" si="3"/>
        <v>8.155886277589433</v>
      </c>
      <c r="S9" s="13"/>
      <c r="T9" s="3" t="s">
        <v>564</v>
      </c>
      <c r="U9" s="3" t="s">
        <v>209</v>
      </c>
      <c r="V9" s="2"/>
      <c r="W9" s="31">
        <f t="shared" si="4"/>
        <v>0.0761408805847168</v>
      </c>
      <c r="X9" s="31">
        <f t="shared" si="5"/>
        <v>0.009335696697235107</v>
      </c>
      <c r="Z9" s="31">
        <f t="shared" si="6"/>
        <v>0.07519817352294922</v>
      </c>
      <c r="AA9" s="31">
        <f t="shared" si="7"/>
        <v>0.009216010570526123</v>
      </c>
      <c r="AB9" s="119">
        <v>39114</v>
      </c>
    </row>
    <row r="10" spans="1:28" ht="25.5" customHeight="1" hidden="1">
      <c r="A10" s="20" t="s">
        <v>181</v>
      </c>
      <c r="B10" s="20" t="s">
        <v>275</v>
      </c>
      <c r="C10" s="11" t="s">
        <v>291</v>
      </c>
      <c r="D10" s="19"/>
      <c r="E10" s="10"/>
      <c r="F10" s="10"/>
      <c r="G10" s="10"/>
      <c r="H10" s="12">
        <v>0.00186</v>
      </c>
      <c r="I10" s="3" t="s">
        <v>299</v>
      </c>
      <c r="J10" s="16" t="s">
        <v>615</v>
      </c>
      <c r="K10" s="12">
        <v>0.00186</v>
      </c>
      <c r="L10" s="96">
        <v>0.5</v>
      </c>
      <c r="M10" s="114">
        <f t="shared" si="0"/>
        <v>268.31720430107526</v>
      </c>
      <c r="N10" s="13">
        <f t="shared" si="1"/>
        <v>8.417350362783507</v>
      </c>
      <c r="O10" s="12">
        <v>0.002</v>
      </c>
      <c r="P10" s="96">
        <v>0.5</v>
      </c>
      <c r="Q10" s="114">
        <f t="shared" si="2"/>
        <v>249.5</v>
      </c>
      <c r="R10" s="13">
        <f t="shared" si="3"/>
        <v>8.415347232148326</v>
      </c>
      <c r="S10" s="13"/>
      <c r="T10" s="13"/>
      <c r="U10" s="3" t="s">
        <v>209</v>
      </c>
      <c r="V10" s="2"/>
      <c r="W10" s="31">
        <f t="shared" si="4"/>
        <v>0.007676422595977783</v>
      </c>
      <c r="X10" s="31">
        <f t="shared" si="5"/>
        <v>0.0009121932089328766</v>
      </c>
      <c r="Z10" s="31">
        <f t="shared" si="6"/>
        <v>0.0071395039558410645</v>
      </c>
      <c r="AA10" s="31">
        <f t="shared" si="7"/>
        <v>0.0008481889963150024</v>
      </c>
      <c r="AB10" s="119">
        <v>39114</v>
      </c>
    </row>
    <row r="11" spans="1:28" ht="51" customHeight="1" hidden="1">
      <c r="A11" s="20" t="s">
        <v>178</v>
      </c>
      <c r="B11" s="20" t="s">
        <v>276</v>
      </c>
      <c r="C11" s="11" t="s">
        <v>291</v>
      </c>
      <c r="D11" s="19"/>
      <c r="E11" s="10"/>
      <c r="F11" s="10"/>
      <c r="G11" s="10"/>
      <c r="H11" s="12">
        <v>0.101</v>
      </c>
      <c r="I11" s="3" t="s">
        <v>300</v>
      </c>
      <c r="J11" s="16" t="s">
        <v>520</v>
      </c>
      <c r="K11" s="12">
        <v>0.05</v>
      </c>
      <c r="L11" s="96">
        <v>0.5</v>
      </c>
      <c r="M11" s="114">
        <f t="shared" si="0"/>
        <v>9.499999999999998</v>
      </c>
      <c r="N11" s="13">
        <f t="shared" si="1"/>
        <v>7.716484482204183</v>
      </c>
      <c r="O11" s="12">
        <v>0.05</v>
      </c>
      <c r="P11" s="96">
        <v>0.5</v>
      </c>
      <c r="Q11" s="114">
        <f t="shared" si="2"/>
        <v>9.499999999999998</v>
      </c>
      <c r="R11" s="13">
        <f t="shared" si="3"/>
        <v>7.716484482204183</v>
      </c>
      <c r="S11" s="13"/>
      <c r="T11" s="3" t="s">
        <v>564</v>
      </c>
      <c r="U11" s="3" t="s">
        <v>209</v>
      </c>
      <c r="V11" s="2"/>
      <c r="W11" s="31">
        <f t="shared" si="4"/>
        <v>0.18736553192138672</v>
      </c>
      <c r="X11" s="31">
        <f t="shared" si="5"/>
        <v>0.024281203746795654</v>
      </c>
      <c r="Z11" s="31">
        <f t="shared" si="6"/>
        <v>0.18736553192138672</v>
      </c>
      <c r="AA11" s="31">
        <f t="shared" si="7"/>
        <v>0.024281203746795654</v>
      </c>
      <c r="AB11" s="119">
        <v>39114</v>
      </c>
    </row>
    <row r="12" spans="1:28" ht="25.5" customHeight="1">
      <c r="A12" s="20" t="s">
        <v>616</v>
      </c>
      <c r="B12" s="20" t="s">
        <v>277</v>
      </c>
      <c r="C12" s="11" t="s">
        <v>292</v>
      </c>
      <c r="D12" s="19">
        <v>5</v>
      </c>
      <c r="E12" s="10">
        <v>33379</v>
      </c>
      <c r="F12" s="10">
        <v>5801</v>
      </c>
      <c r="G12" s="10">
        <v>7679019</v>
      </c>
      <c r="H12" s="82">
        <f>(E12+F12)/G12</f>
        <v>0.005102214228145548</v>
      </c>
      <c r="I12" s="3"/>
      <c r="J12" s="16" t="s">
        <v>505</v>
      </c>
      <c r="K12" s="12">
        <v>0.0097</v>
      </c>
      <c r="L12" s="96">
        <v>10.946</v>
      </c>
      <c r="M12" s="114">
        <f t="shared" si="0"/>
        <v>1117.5076082474227</v>
      </c>
      <c r="N12" s="13">
        <f t="shared" si="1"/>
        <v>1.5872200881468772</v>
      </c>
      <c r="O12" s="12">
        <v>0.00505</v>
      </c>
      <c r="P12" s="96">
        <v>3.4</v>
      </c>
      <c r="Q12" s="114">
        <f t="shared" si="2"/>
        <v>669.8673267326733</v>
      </c>
      <c r="R12" s="13">
        <f t="shared" si="3"/>
        <v>2.2348898018953536</v>
      </c>
      <c r="S12" s="17">
        <f>K12/O12</f>
        <v>1.920792079207921</v>
      </c>
      <c r="T12" s="12" t="s">
        <v>625</v>
      </c>
      <c r="U12" s="3" t="s">
        <v>207</v>
      </c>
      <c r="V12" s="2"/>
      <c r="W12" s="31">
        <f t="shared" si="4"/>
        <v>0.010211139917373657</v>
      </c>
      <c r="X12" s="31">
        <f t="shared" si="5"/>
        <v>0.004568967968225479</v>
      </c>
      <c r="Z12" s="31">
        <f t="shared" si="6"/>
        <v>0.01493862271308899</v>
      </c>
      <c r="AA12" s="31">
        <f t="shared" si="7"/>
        <v>0.00941181555390358</v>
      </c>
      <c r="AB12" s="119">
        <v>39114</v>
      </c>
    </row>
    <row r="13" spans="1:28" ht="25.5" customHeight="1">
      <c r="A13" s="20" t="s">
        <v>604</v>
      </c>
      <c r="B13" s="20" t="s">
        <v>752</v>
      </c>
      <c r="C13" s="11" t="s">
        <v>292</v>
      </c>
      <c r="D13" s="19">
        <v>5</v>
      </c>
      <c r="E13" s="10"/>
      <c r="F13" s="10"/>
      <c r="G13" s="10"/>
      <c r="H13" s="82"/>
      <c r="I13" s="3"/>
      <c r="J13" s="16" t="s">
        <v>505</v>
      </c>
      <c r="K13" s="12">
        <v>0.0295</v>
      </c>
      <c r="L13" s="96">
        <v>6.134</v>
      </c>
      <c r="M13" s="114">
        <f t="shared" si="0"/>
        <v>201.79820338983055</v>
      </c>
      <c r="N13" s="13">
        <f t="shared" si="1"/>
        <v>1.8205657606266363</v>
      </c>
      <c r="O13" s="12"/>
      <c r="P13" s="96"/>
      <c r="Q13" s="114"/>
      <c r="R13" s="13"/>
      <c r="S13" s="13"/>
      <c r="T13" s="12" t="s">
        <v>623</v>
      </c>
      <c r="U13" s="3"/>
      <c r="V13" s="2"/>
      <c r="W13" s="31" t="e">
        <f t="shared" si="4"/>
        <v>#NUM!</v>
      </c>
      <c r="X13" s="31" t="e">
        <f t="shared" si="5"/>
        <v>#NUM!</v>
      </c>
      <c r="Z13" s="31">
        <f t="shared" si="6"/>
        <v>0.05098104476928711</v>
      </c>
      <c r="AA13" s="31">
        <f t="shared" si="7"/>
        <v>0.02800285816192627</v>
      </c>
      <c r="AB13" s="119">
        <v>39114</v>
      </c>
    </row>
    <row r="14" spans="1:28" ht="25.5" customHeight="1">
      <c r="A14" s="20" t="s">
        <v>582</v>
      </c>
      <c r="B14" s="20" t="s">
        <v>584</v>
      </c>
      <c r="C14" s="11" t="s">
        <v>292</v>
      </c>
      <c r="D14" s="19">
        <v>219</v>
      </c>
      <c r="E14" s="19">
        <v>70258.95358999979</v>
      </c>
      <c r="F14" s="19">
        <v>16671.853000000003</v>
      </c>
      <c r="G14" s="19">
        <v>9567549.15000001</v>
      </c>
      <c r="H14" s="82">
        <f>(E14+F14)/G14</f>
        <v>0.009086005749967816</v>
      </c>
      <c r="I14" s="3"/>
      <c r="J14" s="16" t="s">
        <v>505</v>
      </c>
      <c r="K14" s="12">
        <v>0.0134</v>
      </c>
      <c r="L14" s="91">
        <v>3.586</v>
      </c>
      <c r="M14" s="114">
        <f t="shared" si="0"/>
        <v>264.02594029850746</v>
      </c>
      <c r="N14" s="13">
        <f t="shared" si="1"/>
        <v>2.180708927417243</v>
      </c>
      <c r="O14" s="12">
        <v>0.00906</v>
      </c>
      <c r="P14" s="96">
        <v>3.6</v>
      </c>
      <c r="Q14" s="114">
        <f t="shared" si="2"/>
        <v>393.75099337748344</v>
      </c>
      <c r="R14" s="13">
        <f t="shared" si="3"/>
        <v>2.182765275518802</v>
      </c>
      <c r="S14" s="17">
        <f>K14/O14</f>
        <v>1.479028697571744</v>
      </c>
      <c r="T14" s="12"/>
      <c r="U14" s="3"/>
      <c r="V14" s="2"/>
      <c r="W14" s="31">
        <f t="shared" si="4"/>
        <v>0.018008053302764893</v>
      </c>
      <c r="X14" s="31">
        <f t="shared" si="5"/>
        <v>0.008250109851360321</v>
      </c>
      <c r="Z14" s="31">
        <f t="shared" si="6"/>
        <v>0.02662074565887451</v>
      </c>
      <c r="AA14" s="31">
        <f t="shared" si="7"/>
        <v>0.012207381427288055</v>
      </c>
      <c r="AB14" s="119">
        <v>39114</v>
      </c>
    </row>
    <row r="15" spans="1:28" ht="25.5" customHeight="1">
      <c r="A15" s="20" t="s">
        <v>583</v>
      </c>
      <c r="B15" s="20" t="s">
        <v>585</v>
      </c>
      <c r="C15" s="11" t="s">
        <v>292</v>
      </c>
      <c r="D15" s="19">
        <v>8</v>
      </c>
      <c r="E15" s="19"/>
      <c r="F15" s="19"/>
      <c r="G15" s="19"/>
      <c r="H15" s="82"/>
      <c r="I15" s="3"/>
      <c r="J15" s="16" t="s">
        <v>505</v>
      </c>
      <c r="K15" s="12">
        <v>0.0133</v>
      </c>
      <c r="L15" s="91">
        <v>5.761</v>
      </c>
      <c r="M15" s="114">
        <f t="shared" si="0"/>
        <v>427.3968947368421</v>
      </c>
      <c r="N15" s="13">
        <f t="shared" si="1"/>
        <v>1.8660490161237406</v>
      </c>
      <c r="O15" s="12">
        <v>0.00761</v>
      </c>
      <c r="P15" s="96">
        <v>3.8</v>
      </c>
      <c r="Q15" s="114">
        <f t="shared" si="2"/>
        <v>495.5429697766097</v>
      </c>
      <c r="R15" s="13">
        <f t="shared" si="3"/>
        <v>2.1419424423481876</v>
      </c>
      <c r="S15" s="17">
        <f>K15/O15</f>
        <v>1.747700394218134</v>
      </c>
      <c r="T15" s="12"/>
      <c r="U15" s="3"/>
      <c r="V15" s="2"/>
      <c r="W15" s="31">
        <f t="shared" si="4"/>
        <v>0.014914631843566895</v>
      </c>
      <c r="X15" s="31">
        <f t="shared" si="5"/>
        <v>0.006963133811950684</v>
      </c>
      <c r="Z15" s="31">
        <f t="shared" si="6"/>
        <v>0.02343413233757019</v>
      </c>
      <c r="AA15" s="31">
        <f t="shared" si="7"/>
        <v>0.01255815476179123</v>
      </c>
      <c r="AB15" s="119">
        <v>39114</v>
      </c>
    </row>
    <row r="16" spans="1:28" ht="25.5" customHeight="1" hidden="1">
      <c r="A16" s="20" t="s">
        <v>278</v>
      </c>
      <c r="B16" s="20" t="s">
        <v>279</v>
      </c>
      <c r="C16" s="11" t="s">
        <v>291</v>
      </c>
      <c r="D16" s="19"/>
      <c r="E16" s="10"/>
      <c r="F16" s="10"/>
      <c r="G16" s="10"/>
      <c r="H16" s="12">
        <v>0.000552</v>
      </c>
      <c r="I16" s="3" t="s">
        <v>302</v>
      </c>
      <c r="J16" s="16" t="s">
        <v>615</v>
      </c>
      <c r="K16" s="12">
        <v>0.0022</v>
      </c>
      <c r="L16" s="96">
        <v>0.5</v>
      </c>
      <c r="M16" s="114">
        <f t="shared" si="0"/>
        <v>226.77272727272725</v>
      </c>
      <c r="N16" s="13">
        <f t="shared" si="1"/>
        <v>8.412455622344996</v>
      </c>
      <c r="O16" s="12">
        <v>0.0006</v>
      </c>
      <c r="P16" s="96">
        <v>0.5</v>
      </c>
      <c r="Q16" s="114">
        <f t="shared" si="2"/>
        <v>832.8333333333334</v>
      </c>
      <c r="R16" s="13">
        <f t="shared" si="3"/>
        <v>8.435368861750783</v>
      </c>
      <c r="S16" s="13"/>
      <c r="T16" s="12"/>
      <c r="U16" s="3" t="s">
        <v>209</v>
      </c>
      <c r="V16" s="2"/>
      <c r="W16" s="31">
        <f t="shared" si="4"/>
        <v>0.002304293215274811</v>
      </c>
      <c r="X16" s="31">
        <f t="shared" si="5"/>
        <v>0.0002731704153120518</v>
      </c>
      <c r="Z16" s="31">
        <f t="shared" si="6"/>
        <v>0.008443325757980347</v>
      </c>
      <c r="AA16" s="31">
        <f t="shared" si="7"/>
        <v>0.0010036695748567581</v>
      </c>
      <c r="AB16" s="119">
        <v>39114</v>
      </c>
    </row>
    <row r="17" spans="1:28" ht="25.5" customHeight="1" hidden="1">
      <c r="A17" s="20" t="s">
        <v>179</v>
      </c>
      <c r="B17" s="20" t="s">
        <v>280</v>
      </c>
      <c r="C17" s="11" t="s">
        <v>291</v>
      </c>
      <c r="D17" s="19"/>
      <c r="E17" s="10"/>
      <c r="F17" s="10"/>
      <c r="G17" s="10"/>
      <c r="H17" s="12">
        <v>0.002</v>
      </c>
      <c r="I17" s="3" t="s">
        <v>303</v>
      </c>
      <c r="J17" s="16" t="s">
        <v>615</v>
      </c>
      <c r="K17" s="12">
        <f>H17</f>
        <v>0.002</v>
      </c>
      <c r="L17" s="96">
        <v>0.5</v>
      </c>
      <c r="M17" s="114">
        <f t="shared" si="0"/>
        <v>249.5</v>
      </c>
      <c r="N17" s="13">
        <f t="shared" si="1"/>
        <v>8.415347232148326</v>
      </c>
      <c r="O17" s="12">
        <v>0.002</v>
      </c>
      <c r="P17" s="96">
        <v>0.5</v>
      </c>
      <c r="Q17" s="114">
        <f t="shared" si="2"/>
        <v>249.5</v>
      </c>
      <c r="R17" s="13">
        <f t="shared" si="3"/>
        <v>8.415347232148326</v>
      </c>
      <c r="S17" s="13"/>
      <c r="T17" s="12"/>
      <c r="U17" s="3" t="s">
        <v>209</v>
      </c>
      <c r="V17" s="2"/>
      <c r="W17" s="31">
        <f t="shared" si="4"/>
        <v>0.007676422595977783</v>
      </c>
      <c r="X17" s="31">
        <f t="shared" si="5"/>
        <v>0.0009121932089328766</v>
      </c>
      <c r="Z17" s="31">
        <f t="shared" si="6"/>
        <v>0.007676422595977783</v>
      </c>
      <c r="AA17" s="31">
        <f t="shared" si="7"/>
        <v>0.0009121932089328766</v>
      </c>
      <c r="AB17" s="119">
        <v>39114</v>
      </c>
    </row>
    <row r="18" spans="1:28" ht="25.5" customHeight="1">
      <c r="A18" s="20" t="s">
        <v>605</v>
      </c>
      <c r="B18" s="20" t="s">
        <v>606</v>
      </c>
      <c r="C18" s="11" t="s">
        <v>292</v>
      </c>
      <c r="D18" s="19">
        <v>4</v>
      </c>
      <c r="E18" s="10"/>
      <c r="F18" s="10"/>
      <c r="G18" s="10"/>
      <c r="H18" s="12"/>
      <c r="I18" s="3"/>
      <c r="J18" s="16" t="s">
        <v>608</v>
      </c>
      <c r="K18" s="12">
        <v>0.016</v>
      </c>
      <c r="L18" s="96">
        <v>2.5</v>
      </c>
      <c r="M18" s="114">
        <f t="shared" si="0"/>
        <v>153.75</v>
      </c>
      <c r="N18" s="13">
        <f t="shared" si="1"/>
        <v>2.516710640166062</v>
      </c>
      <c r="O18" s="12">
        <v>0.0091</v>
      </c>
      <c r="P18" s="96">
        <v>2.5</v>
      </c>
      <c r="Q18" s="114">
        <f t="shared" si="2"/>
        <v>272.22527472527474</v>
      </c>
      <c r="R18" s="13">
        <f t="shared" si="3"/>
        <v>2.5285239402886464</v>
      </c>
      <c r="S18" s="17">
        <f>K18/O18</f>
        <v>1.7582417582417582</v>
      </c>
      <c r="T18" s="12"/>
      <c r="U18" s="3" t="s">
        <v>209</v>
      </c>
      <c r="V18" s="2"/>
      <c r="W18" s="31">
        <f t="shared" si="4"/>
        <v>0.020073413848876953</v>
      </c>
      <c r="X18" s="31">
        <f t="shared" si="5"/>
        <v>0.007938787341117859</v>
      </c>
      <c r="Z18" s="31">
        <f t="shared" si="6"/>
        <v>0.035193443298339844</v>
      </c>
      <c r="AA18" s="31">
        <f t="shared" si="7"/>
        <v>0.01398390531539917</v>
      </c>
      <c r="AB18" s="119">
        <v>39114</v>
      </c>
    </row>
    <row r="19" spans="1:28" ht="25.5" customHeight="1">
      <c r="A19" s="20" t="s">
        <v>609</v>
      </c>
      <c r="B19" s="20" t="s">
        <v>613</v>
      </c>
      <c r="C19" s="11" t="s">
        <v>292</v>
      </c>
      <c r="D19" s="19">
        <v>51</v>
      </c>
      <c r="E19" s="10"/>
      <c r="F19" s="10"/>
      <c r="G19" s="10"/>
      <c r="H19" s="12"/>
      <c r="I19" s="3"/>
      <c r="J19" s="16" t="s">
        <v>505</v>
      </c>
      <c r="K19" s="12">
        <v>0.00865</v>
      </c>
      <c r="L19" s="96">
        <v>1</v>
      </c>
      <c r="M19" s="114">
        <f t="shared" si="0"/>
        <v>114.60693641618496</v>
      </c>
      <c r="N19" s="13">
        <f t="shared" si="1"/>
        <v>4.2788371242450305</v>
      </c>
      <c r="O19" s="12"/>
      <c r="P19" s="96"/>
      <c r="Q19" s="114"/>
      <c r="R19" s="13"/>
      <c r="S19" s="13"/>
      <c r="T19" s="12" t="s">
        <v>623</v>
      </c>
      <c r="U19" s="3"/>
      <c r="V19" s="2"/>
      <c r="W19" s="31" t="e">
        <f t="shared" si="4"/>
        <v>#NUM!</v>
      </c>
      <c r="X19" s="31" t="e">
        <f t="shared" si="5"/>
        <v>#NUM!</v>
      </c>
      <c r="Z19" s="31">
        <f t="shared" si="6"/>
        <v>0.025800466537475586</v>
      </c>
      <c r="AA19" s="31">
        <f t="shared" si="7"/>
        <v>0.006029784679412842</v>
      </c>
      <c r="AB19" s="119">
        <v>39114</v>
      </c>
    </row>
    <row r="20" spans="1:28" ht="25.5" customHeight="1">
      <c r="A20" s="20" t="s">
        <v>611</v>
      </c>
      <c r="B20" s="20" t="s">
        <v>614</v>
      </c>
      <c r="C20" s="11" t="s">
        <v>292</v>
      </c>
      <c r="D20" s="19">
        <v>38</v>
      </c>
      <c r="E20" s="10"/>
      <c r="F20" s="10"/>
      <c r="G20" s="10"/>
      <c r="H20" s="12"/>
      <c r="I20" s="3"/>
      <c r="J20" s="16" t="s">
        <v>505</v>
      </c>
      <c r="K20" s="12">
        <v>0.00363</v>
      </c>
      <c r="L20" s="96">
        <v>1.747</v>
      </c>
      <c r="M20" s="114">
        <f t="shared" si="0"/>
        <v>479.520217630854</v>
      </c>
      <c r="N20" s="13">
        <f t="shared" si="1"/>
        <v>3.022803362238415</v>
      </c>
      <c r="O20" s="12"/>
      <c r="P20" s="96"/>
      <c r="Q20" s="114"/>
      <c r="R20" s="13"/>
      <c r="S20" s="13"/>
      <c r="T20" s="12" t="s">
        <v>623</v>
      </c>
      <c r="U20" s="3"/>
      <c r="V20" s="2"/>
      <c r="W20" s="31" t="e">
        <f t="shared" si="4"/>
        <v>#NUM!</v>
      </c>
      <c r="X20" s="31" t="e">
        <f t="shared" si="5"/>
        <v>#NUM!</v>
      </c>
      <c r="Z20" s="31">
        <f t="shared" si="6"/>
        <v>0.00897720456123352</v>
      </c>
      <c r="AA20" s="31">
        <f t="shared" si="7"/>
        <v>0.002969827502965927</v>
      </c>
      <c r="AB20" s="119">
        <v>39114</v>
      </c>
    </row>
    <row r="21" spans="1:28" ht="38.25" customHeight="1" hidden="1">
      <c r="A21" s="20" t="s">
        <v>311</v>
      </c>
      <c r="B21" s="20" t="s">
        <v>312</v>
      </c>
      <c r="C21" s="11" t="s">
        <v>298</v>
      </c>
      <c r="D21" s="19"/>
      <c r="E21" s="10">
        <v>2138</v>
      </c>
      <c r="F21" s="10">
        <v>12</v>
      </c>
      <c r="G21" s="10">
        <v>240344</v>
      </c>
      <c r="H21" s="82">
        <f>(E21+F21)/G21</f>
        <v>0.008945511433611823</v>
      </c>
      <c r="I21" s="3" t="s">
        <v>25</v>
      </c>
      <c r="J21" s="16" t="s">
        <v>569</v>
      </c>
      <c r="K21" s="12">
        <v>0.00897444627201934</v>
      </c>
      <c r="L21" s="96">
        <v>2.5</v>
      </c>
      <c r="M21" s="114">
        <f t="shared" si="0"/>
        <v>276.0687188071465</v>
      </c>
      <c r="N21" s="13">
        <f t="shared" si="1"/>
        <v>2.52874123278676</v>
      </c>
      <c r="O21" s="12">
        <v>0.009</v>
      </c>
      <c r="P21" s="96">
        <v>2.5</v>
      </c>
      <c r="Q21" s="114">
        <f t="shared" si="2"/>
        <v>275.2777777777778</v>
      </c>
      <c r="R21" s="13">
        <f t="shared" si="3"/>
        <v>2.5286959723436095</v>
      </c>
      <c r="S21" s="13"/>
      <c r="T21" s="12" t="s">
        <v>623</v>
      </c>
      <c r="U21" s="3"/>
      <c r="V21" s="2"/>
      <c r="W21" s="31">
        <f t="shared" si="4"/>
        <v>0.019853651523590088</v>
      </c>
      <c r="X21" s="31">
        <f t="shared" si="5"/>
        <v>0.007851339876651764</v>
      </c>
      <c r="Z21" s="31">
        <f t="shared" si="6"/>
        <v>0.01979750394821167</v>
      </c>
      <c r="AA21" s="31">
        <f t="shared" si="7"/>
        <v>0.00782899558544159</v>
      </c>
      <c r="AB21" s="119">
        <v>39114</v>
      </c>
    </row>
    <row r="22" spans="1:28" ht="25.5" customHeight="1">
      <c r="A22" s="20" t="s">
        <v>570</v>
      </c>
      <c r="B22" s="20" t="s">
        <v>574</v>
      </c>
      <c r="C22" s="11" t="s">
        <v>292</v>
      </c>
      <c r="D22" s="19">
        <v>73</v>
      </c>
      <c r="E22" s="10"/>
      <c r="F22" s="10"/>
      <c r="G22" s="10"/>
      <c r="H22" s="12">
        <v>0.00547</v>
      </c>
      <c r="I22" s="3"/>
      <c r="J22" s="16" t="s">
        <v>505</v>
      </c>
      <c r="K22" s="12">
        <v>0.00723</v>
      </c>
      <c r="L22" s="96">
        <v>1</v>
      </c>
      <c r="M22" s="114">
        <f t="shared" si="0"/>
        <v>137.31258644536652</v>
      </c>
      <c r="N22" s="13">
        <f t="shared" si="1"/>
        <v>4.285917637466947</v>
      </c>
      <c r="O22" s="12"/>
      <c r="P22" s="96"/>
      <c r="Q22" s="114"/>
      <c r="R22" s="13"/>
      <c r="S22" s="13"/>
      <c r="T22" s="12" t="s">
        <v>623</v>
      </c>
      <c r="U22" s="3" t="s">
        <v>210</v>
      </c>
      <c r="V22" s="2"/>
      <c r="W22" s="31" t="e">
        <f t="shared" si="4"/>
        <v>#NUM!</v>
      </c>
      <c r="X22" s="31" t="e">
        <f t="shared" si="5"/>
        <v>#NUM!</v>
      </c>
      <c r="Z22" s="31">
        <f t="shared" si="6"/>
        <v>0.02158057689666748</v>
      </c>
      <c r="AA22" s="31">
        <f t="shared" si="7"/>
        <v>0.005035229027271271</v>
      </c>
      <c r="AB22" s="119">
        <v>39114</v>
      </c>
    </row>
    <row r="23" spans="1:28" ht="25.5" customHeight="1">
      <c r="A23" s="20" t="s">
        <v>573</v>
      </c>
      <c r="B23" s="20" t="s">
        <v>575</v>
      </c>
      <c r="C23" s="11" t="s">
        <v>292</v>
      </c>
      <c r="D23" s="19">
        <v>70</v>
      </c>
      <c r="E23" s="10"/>
      <c r="F23" s="10"/>
      <c r="G23" s="10"/>
      <c r="H23" s="12"/>
      <c r="I23" s="3"/>
      <c r="J23" s="16" t="s">
        <v>505</v>
      </c>
      <c r="K23" s="12">
        <v>0.00762</v>
      </c>
      <c r="L23" s="96">
        <v>3.759</v>
      </c>
      <c r="M23" s="114">
        <f t="shared" si="0"/>
        <v>489.54808661417326</v>
      </c>
      <c r="N23" s="13">
        <f t="shared" si="1"/>
        <v>2.1503121541982373</v>
      </c>
      <c r="O23" s="12">
        <v>0.00771</v>
      </c>
      <c r="P23" s="96">
        <v>6.2</v>
      </c>
      <c r="Q23" s="114">
        <f t="shared" si="2"/>
        <v>797.9504539559015</v>
      </c>
      <c r="R23" s="13">
        <f t="shared" si="3"/>
        <v>1.8310155192326814</v>
      </c>
      <c r="S23" s="17">
        <f>K23/O23</f>
        <v>0.9883268482490273</v>
      </c>
      <c r="T23" s="3"/>
      <c r="U23" s="3"/>
      <c r="V23" s="2"/>
      <c r="W23" s="31">
        <f t="shared" si="4"/>
        <v>0.013376891613006592</v>
      </c>
      <c r="X23" s="31">
        <f t="shared" si="5"/>
        <v>0.007305722683668137</v>
      </c>
      <c r="Z23" s="31">
        <f t="shared" si="6"/>
        <v>0.014977693557739258</v>
      </c>
      <c r="AA23" s="31">
        <f t="shared" si="7"/>
        <v>0.006965357810258865</v>
      </c>
      <c r="AB23" s="119">
        <v>39114</v>
      </c>
    </row>
    <row r="24" spans="1:28" ht="25.5" customHeight="1">
      <c r="A24" s="20" t="s">
        <v>577</v>
      </c>
      <c r="B24" s="20" t="s">
        <v>578</v>
      </c>
      <c r="C24" s="11" t="s">
        <v>292</v>
      </c>
      <c r="D24" s="19">
        <v>145</v>
      </c>
      <c r="E24" s="10"/>
      <c r="F24" s="10"/>
      <c r="G24" s="10"/>
      <c r="H24" s="12"/>
      <c r="I24" s="3"/>
      <c r="J24" s="16" t="s">
        <v>505</v>
      </c>
      <c r="K24" s="12">
        <v>0.00518</v>
      </c>
      <c r="L24" s="96">
        <v>2.748</v>
      </c>
      <c r="M24" s="114">
        <f t="shared" si="0"/>
        <v>527.7539305019307</v>
      </c>
      <c r="N24" s="13">
        <f t="shared" si="1"/>
        <v>2.433637532322161</v>
      </c>
      <c r="O24" s="12">
        <v>0.00598</v>
      </c>
      <c r="P24" s="96">
        <v>2.5</v>
      </c>
      <c r="Q24" s="114">
        <f t="shared" si="2"/>
        <v>415.56020066889636</v>
      </c>
      <c r="R24" s="13">
        <f t="shared" si="3"/>
        <v>2.533865714916666</v>
      </c>
      <c r="S24" s="17">
        <f>K24/O24</f>
        <v>0.8662207357859532</v>
      </c>
      <c r="T24" s="3"/>
      <c r="U24" s="3"/>
      <c r="V24" s="2"/>
      <c r="W24" s="31">
        <f t="shared" si="4"/>
        <v>0.01320803165435791</v>
      </c>
      <c r="X24" s="31">
        <f t="shared" si="5"/>
        <v>0.005212601274251938</v>
      </c>
      <c r="Z24" s="31">
        <f t="shared" si="6"/>
        <v>0.011128395795822144</v>
      </c>
      <c r="AA24" s="31">
        <f t="shared" si="7"/>
        <v>0.004572741687297821</v>
      </c>
      <c r="AB24" s="119">
        <v>39114</v>
      </c>
    </row>
    <row r="25" spans="1:28" ht="25.5" customHeight="1">
      <c r="A25" s="20" t="s">
        <v>267</v>
      </c>
      <c r="B25" s="20" t="s">
        <v>581</v>
      </c>
      <c r="C25" s="11" t="s">
        <v>292</v>
      </c>
      <c r="D25" s="19">
        <v>6</v>
      </c>
      <c r="E25" s="10">
        <v>579</v>
      </c>
      <c r="F25" s="10">
        <v>43</v>
      </c>
      <c r="G25" s="10">
        <v>68380</v>
      </c>
      <c r="H25" s="82">
        <f>(E25+F25)/G25</f>
        <v>0.0090962269669494</v>
      </c>
      <c r="I25" s="3"/>
      <c r="J25" s="16" t="s">
        <v>505</v>
      </c>
      <c r="K25" s="12">
        <v>0.00586</v>
      </c>
      <c r="L25" s="96">
        <v>1.265</v>
      </c>
      <c r="M25" s="114">
        <f t="shared" si="0"/>
        <v>214.60530716723548</v>
      </c>
      <c r="N25" s="13">
        <f t="shared" si="1"/>
        <v>3.6470958925806296</v>
      </c>
      <c r="O25" s="12">
        <v>0.00748</v>
      </c>
      <c r="P25" s="96">
        <v>2.5</v>
      </c>
      <c r="Q25" s="114">
        <f t="shared" si="2"/>
        <v>331.7245989304813</v>
      </c>
      <c r="R25" s="13">
        <f t="shared" si="3"/>
        <v>2.531297457058412</v>
      </c>
      <c r="S25" s="17">
        <f>K25/O25</f>
        <v>0.7834224598930482</v>
      </c>
      <c r="T25" s="12"/>
      <c r="U25" s="3" t="s">
        <v>268</v>
      </c>
      <c r="V25" s="2"/>
      <c r="W25" s="31">
        <f t="shared" si="4"/>
        <v>0.01651090383529663</v>
      </c>
      <c r="X25" s="31">
        <f t="shared" si="5"/>
        <v>0.006522703915834427</v>
      </c>
      <c r="Z25" s="31">
        <f t="shared" si="6"/>
        <v>0.016126811504364014</v>
      </c>
      <c r="AA25" s="31">
        <f t="shared" si="7"/>
        <v>0.004421822726726532</v>
      </c>
      <c r="AB25" s="119">
        <v>39114</v>
      </c>
    </row>
    <row r="26" spans="1:28" ht="51" customHeight="1" hidden="1">
      <c r="A26" s="20" t="s">
        <v>503</v>
      </c>
      <c r="B26" s="20" t="s">
        <v>504</v>
      </c>
      <c r="C26" s="11" t="s">
        <v>291</v>
      </c>
      <c r="D26" s="19"/>
      <c r="E26" s="10"/>
      <c r="F26" s="10"/>
      <c r="G26" s="10"/>
      <c r="H26" s="12">
        <v>0.026</v>
      </c>
      <c r="I26" s="3" t="s">
        <v>305</v>
      </c>
      <c r="J26" s="16" t="s">
        <v>520</v>
      </c>
      <c r="K26" s="12">
        <f>H26/2</f>
        <v>0.013</v>
      </c>
      <c r="L26" s="96">
        <v>0.5</v>
      </c>
      <c r="M26" s="114">
        <f t="shared" si="0"/>
        <v>37.96153846153846</v>
      </c>
      <c r="N26" s="13">
        <f t="shared" si="1"/>
        <v>8.257192274716397</v>
      </c>
      <c r="O26" s="12">
        <v>0.012</v>
      </c>
      <c r="P26" s="96">
        <v>0.5</v>
      </c>
      <c r="Q26" s="114">
        <f t="shared" si="2"/>
        <v>41.166666666666664</v>
      </c>
      <c r="R26" s="13">
        <f t="shared" si="3"/>
        <v>8.271586620649614</v>
      </c>
      <c r="S26" s="13"/>
      <c r="T26" s="3"/>
      <c r="U26" s="3" t="s">
        <v>209</v>
      </c>
      <c r="V26" s="2"/>
      <c r="W26" s="31">
        <f t="shared" si="4"/>
        <v>0.04585576057434082</v>
      </c>
      <c r="X26" s="31">
        <f t="shared" si="5"/>
        <v>0.005543768405914307</v>
      </c>
      <c r="Z26" s="31">
        <f t="shared" si="6"/>
        <v>0.049654483795166016</v>
      </c>
      <c r="AA26" s="31">
        <f t="shared" si="7"/>
        <v>0.0060134828090667725</v>
      </c>
      <c r="AB26" s="119">
        <v>39114</v>
      </c>
    </row>
    <row r="27" spans="1:28" ht="25.5" customHeight="1">
      <c r="A27" s="20" t="s">
        <v>617</v>
      </c>
      <c r="B27" s="20" t="s">
        <v>281</v>
      </c>
      <c r="C27" s="11" t="s">
        <v>292</v>
      </c>
      <c r="D27" s="19">
        <v>122</v>
      </c>
      <c r="E27" s="10">
        <v>33379</v>
      </c>
      <c r="F27" s="10">
        <v>5801</v>
      </c>
      <c r="G27" s="10">
        <v>7679019</v>
      </c>
      <c r="H27" s="82">
        <f>(E27+F27)/G27</f>
        <v>0.005102214228145548</v>
      </c>
      <c r="I27" s="3"/>
      <c r="J27" s="16" t="s">
        <v>505</v>
      </c>
      <c r="K27" s="12">
        <v>0.00395</v>
      </c>
      <c r="L27" s="96">
        <v>2.387</v>
      </c>
      <c r="M27" s="114">
        <f t="shared" si="0"/>
        <v>601.9167974683544</v>
      </c>
      <c r="N27" s="13">
        <f t="shared" si="1"/>
        <v>2.590540796819176</v>
      </c>
      <c r="O27" s="12">
        <v>0.00505</v>
      </c>
      <c r="P27" s="96">
        <v>3.4</v>
      </c>
      <c r="Q27" s="114">
        <f t="shared" si="2"/>
        <v>669.8673267326733</v>
      </c>
      <c r="R27" s="13">
        <f t="shared" si="3"/>
        <v>2.2348898018953536</v>
      </c>
      <c r="S27" s="17">
        <f>K27/O27</f>
        <v>0.7821782178217823</v>
      </c>
      <c r="T27" s="12" t="s">
        <v>625</v>
      </c>
      <c r="U27" s="3" t="s">
        <v>207</v>
      </c>
      <c r="V27" s="2"/>
      <c r="W27" s="31">
        <f t="shared" si="4"/>
        <v>0.010211139917373657</v>
      </c>
      <c r="X27" s="31">
        <f t="shared" si="5"/>
        <v>0.004568967968225479</v>
      </c>
      <c r="Z27" s="31">
        <f t="shared" si="6"/>
        <v>0.008854329586029053</v>
      </c>
      <c r="AA27" s="31">
        <f t="shared" si="7"/>
        <v>0.0034179463982582092</v>
      </c>
      <c r="AB27" s="119">
        <v>39114</v>
      </c>
    </row>
    <row r="28" spans="1:28" ht="25.5" customHeight="1">
      <c r="A28" s="20" t="s">
        <v>587</v>
      </c>
      <c r="B28" s="14" t="s">
        <v>282</v>
      </c>
      <c r="C28" s="11" t="s">
        <v>292</v>
      </c>
      <c r="D28" s="19">
        <v>133</v>
      </c>
      <c r="E28" s="10"/>
      <c r="F28" s="10"/>
      <c r="G28" s="10"/>
      <c r="H28" s="12"/>
      <c r="I28" s="3"/>
      <c r="J28" s="16" t="s">
        <v>505</v>
      </c>
      <c r="K28" s="12">
        <v>0.00591</v>
      </c>
      <c r="L28" s="96">
        <v>1.288</v>
      </c>
      <c r="M28" s="114">
        <f t="shared" si="0"/>
        <v>216.6477021996616</v>
      </c>
      <c r="N28" s="13">
        <f t="shared" si="1"/>
        <v>3.605032968201638</v>
      </c>
      <c r="O28" s="12"/>
      <c r="P28" s="96"/>
      <c r="Q28" s="114"/>
      <c r="R28" s="13"/>
      <c r="S28" s="13"/>
      <c r="T28" s="12" t="s">
        <v>623</v>
      </c>
      <c r="U28" s="3" t="s">
        <v>208</v>
      </c>
      <c r="V28" s="2"/>
      <c r="W28" s="31" t="e">
        <f t="shared" si="4"/>
        <v>#NUM!</v>
      </c>
      <c r="X28" s="31" t="e">
        <f t="shared" si="5"/>
        <v>#NUM!</v>
      </c>
      <c r="Z28" s="31">
        <f t="shared" si="6"/>
        <v>0.016163885593414307</v>
      </c>
      <c r="AA28" s="31">
        <f t="shared" si="7"/>
        <v>0.004483699798583984</v>
      </c>
      <c r="AB28" s="119">
        <v>39114</v>
      </c>
    </row>
    <row r="29" spans="1:28" ht="25.5" customHeight="1">
      <c r="A29" s="20" t="s">
        <v>618</v>
      </c>
      <c r="B29" s="20" t="s">
        <v>283</v>
      </c>
      <c r="C29" s="11" t="s">
        <v>292</v>
      </c>
      <c r="D29" s="19">
        <v>8</v>
      </c>
      <c r="E29" s="10">
        <v>1887</v>
      </c>
      <c r="F29" s="19">
        <v>109.5</v>
      </c>
      <c r="G29" s="10">
        <v>294243</v>
      </c>
      <c r="H29" s="82">
        <f>(E29+F29)/G29</f>
        <v>0.006785208144288904</v>
      </c>
      <c r="I29" s="3"/>
      <c r="J29" s="16" t="s">
        <v>505</v>
      </c>
      <c r="K29" s="12">
        <v>0.0131</v>
      </c>
      <c r="L29" s="96">
        <v>1.537</v>
      </c>
      <c r="M29" s="114">
        <f t="shared" si="0"/>
        <v>115.79124427480915</v>
      </c>
      <c r="N29" s="13">
        <f t="shared" si="1"/>
        <v>3.21822445561139</v>
      </c>
      <c r="O29" s="12">
        <v>0.0072</v>
      </c>
      <c r="P29" s="96">
        <v>20</v>
      </c>
      <c r="Q29" s="114">
        <f t="shared" si="2"/>
        <v>2757.7777777777783</v>
      </c>
      <c r="R29" s="13">
        <f t="shared" si="3"/>
        <v>1.415418426196533</v>
      </c>
      <c r="S29" s="17">
        <f>K29/O29</f>
        <v>1.8194444444444446</v>
      </c>
      <c r="T29" s="12"/>
      <c r="U29" s="3"/>
      <c r="V29" s="2"/>
      <c r="W29" s="31">
        <f t="shared" si="4"/>
        <v>0.01002407819032669</v>
      </c>
      <c r="X29" s="31">
        <f t="shared" si="5"/>
        <v>0.007082059979438782</v>
      </c>
      <c r="Z29" s="31">
        <f t="shared" si="6"/>
        <v>0.03363943099975586</v>
      </c>
      <c r="AA29" s="31">
        <f t="shared" si="7"/>
        <v>0.010452792048454285</v>
      </c>
      <c r="AB29" s="119">
        <v>39114</v>
      </c>
    </row>
    <row r="30" spans="1:28" ht="25.5" customHeight="1">
      <c r="A30" s="20" t="s">
        <v>588</v>
      </c>
      <c r="B30" s="20" t="s">
        <v>586</v>
      </c>
      <c r="C30" s="11" t="s">
        <v>292</v>
      </c>
      <c r="D30" s="19">
        <v>196</v>
      </c>
      <c r="E30" s="10">
        <v>33134</v>
      </c>
      <c r="F30" s="10">
        <v>4640</v>
      </c>
      <c r="G30" s="10">
        <v>7494000</v>
      </c>
      <c r="H30" s="82">
        <f>(E30+F30)/G30</f>
        <v>0.005040565785962103</v>
      </c>
      <c r="I30" s="3"/>
      <c r="J30" s="16" t="s">
        <v>505</v>
      </c>
      <c r="K30" s="12">
        <v>0.00412</v>
      </c>
      <c r="L30" s="91">
        <v>2.348</v>
      </c>
      <c r="M30" s="114">
        <f t="shared" si="0"/>
        <v>567.5549126213591</v>
      </c>
      <c r="N30" s="13">
        <f t="shared" si="1"/>
        <v>2.609768310081937</v>
      </c>
      <c r="O30" s="12">
        <v>0.00497</v>
      </c>
      <c r="P30" s="96">
        <v>2.2</v>
      </c>
      <c r="Q30" s="114">
        <f t="shared" si="2"/>
        <v>440.45593561368213</v>
      </c>
      <c r="R30" s="13">
        <f t="shared" si="3"/>
        <v>2.6884460194379143</v>
      </c>
      <c r="S30" s="17">
        <f>K30/O30</f>
        <v>0.8289738430583502</v>
      </c>
      <c r="T30" s="12"/>
      <c r="U30" s="3"/>
      <c r="V30" s="2"/>
      <c r="W30" s="31">
        <f t="shared" si="4"/>
        <v>0.011417776346206665</v>
      </c>
      <c r="X30" s="31">
        <f t="shared" si="5"/>
        <v>0.0042469799518585205</v>
      </c>
      <c r="Z30" s="31">
        <f t="shared" si="6"/>
        <v>0.009281128644943237</v>
      </c>
      <c r="AA30" s="31">
        <f t="shared" si="7"/>
        <v>0.0035563036799430847</v>
      </c>
      <c r="AB30" s="119">
        <v>39114</v>
      </c>
    </row>
    <row r="31" spans="1:28" ht="25.5" customHeight="1" hidden="1">
      <c r="A31" s="20" t="s">
        <v>589</v>
      </c>
      <c r="B31" s="20" t="s">
        <v>284</v>
      </c>
      <c r="C31" s="11" t="s">
        <v>298</v>
      </c>
      <c r="D31" s="19"/>
      <c r="E31" s="10">
        <v>22716</v>
      </c>
      <c r="F31" s="10">
        <v>3812</v>
      </c>
      <c r="G31" s="10">
        <v>3657028</v>
      </c>
      <c r="H31" s="82">
        <f>(E31+F31)/G31</f>
        <v>0.007253977820240917</v>
      </c>
      <c r="I31" s="3" t="s">
        <v>194</v>
      </c>
      <c r="J31" s="16" t="s">
        <v>301</v>
      </c>
      <c r="K31" s="12">
        <v>0.00767432723293547</v>
      </c>
      <c r="L31" s="91">
        <v>5.891990723390052</v>
      </c>
      <c r="M31" s="114">
        <f t="shared" si="0"/>
        <v>761.861395932281</v>
      </c>
      <c r="N31" s="13">
        <f t="shared" si="1"/>
        <v>1.858130223941366</v>
      </c>
      <c r="O31" s="12">
        <v>0.008</v>
      </c>
      <c r="P31" s="96">
        <v>6</v>
      </c>
      <c r="Q31" s="114">
        <f t="shared" si="2"/>
        <v>744</v>
      </c>
      <c r="R31" s="13">
        <f t="shared" si="3"/>
        <v>1.84810976600385</v>
      </c>
      <c r="S31" s="13"/>
      <c r="T31" s="12"/>
      <c r="U31" s="3" t="s">
        <v>195</v>
      </c>
      <c r="V31" s="2"/>
      <c r="W31" s="31">
        <f t="shared" si="4"/>
        <v>0.013984501361846924</v>
      </c>
      <c r="X31" s="31">
        <f t="shared" si="5"/>
        <v>0.007566921412944794</v>
      </c>
      <c r="Z31" s="31">
        <f t="shared" si="6"/>
        <v>0.013473451137542725</v>
      </c>
      <c r="AA31" s="31">
        <f t="shared" si="7"/>
        <v>0.007251080125570297</v>
      </c>
      <c r="AB31" s="119">
        <v>39114</v>
      </c>
    </row>
    <row r="32" spans="1:28" ht="25.5" customHeight="1" hidden="1">
      <c r="A32" s="20" t="s">
        <v>590</v>
      </c>
      <c r="B32" s="20" t="s">
        <v>285</v>
      </c>
      <c r="C32" s="11" t="s">
        <v>298</v>
      </c>
      <c r="D32" s="19"/>
      <c r="E32" s="10">
        <v>34781</v>
      </c>
      <c r="F32" s="10">
        <v>3759</v>
      </c>
      <c r="G32" s="10">
        <v>6783002</v>
      </c>
      <c r="H32" s="82">
        <f>(E32+F32)/G32</f>
        <v>0.00568185001272298</v>
      </c>
      <c r="I32" s="3" t="s">
        <v>194</v>
      </c>
      <c r="J32" s="16" t="s">
        <v>301</v>
      </c>
      <c r="K32" s="12">
        <v>0.00598466270363355</v>
      </c>
      <c r="L32" s="91">
        <v>2.8173169193483</v>
      </c>
      <c r="M32" s="114">
        <f t="shared" si="0"/>
        <v>467.93885746584874</v>
      </c>
      <c r="N32" s="13">
        <f t="shared" si="1"/>
        <v>2.4071131300836432</v>
      </c>
      <c r="O32" s="12">
        <v>0.006</v>
      </c>
      <c r="P32" s="96">
        <v>3</v>
      </c>
      <c r="Q32" s="114">
        <f t="shared" si="2"/>
        <v>497</v>
      </c>
      <c r="R32" s="13">
        <f t="shared" si="3"/>
        <v>2.345866628267495</v>
      </c>
      <c r="S32" s="13"/>
      <c r="T32" s="12"/>
      <c r="U32" s="3"/>
      <c r="V32" s="2"/>
      <c r="W32" s="31">
        <f t="shared" si="4"/>
        <v>0.01256263256072998</v>
      </c>
      <c r="X32" s="31">
        <f t="shared" si="5"/>
        <v>0.005355220288038254</v>
      </c>
      <c r="Z32" s="31">
        <f t="shared" si="6"/>
        <v>0.01275983452796936</v>
      </c>
      <c r="AA32" s="31">
        <f t="shared" si="7"/>
        <v>0.005300886929035187</v>
      </c>
      <c r="AB32" s="119">
        <v>39114</v>
      </c>
    </row>
    <row r="33" spans="1:28" ht="25.5" customHeight="1">
      <c r="A33" s="20" t="s">
        <v>591</v>
      </c>
      <c r="B33" s="14" t="s">
        <v>592</v>
      </c>
      <c r="C33" s="12" t="s">
        <v>292</v>
      </c>
      <c r="D33" s="16">
        <v>223</v>
      </c>
      <c r="E33" s="10"/>
      <c r="F33" s="10"/>
      <c r="G33" s="10"/>
      <c r="H33" s="12"/>
      <c r="I33" s="3"/>
      <c r="J33" s="16" t="s">
        <v>505</v>
      </c>
      <c r="K33" s="12">
        <v>0.013</v>
      </c>
      <c r="L33" s="96">
        <v>1</v>
      </c>
      <c r="M33" s="114">
        <f t="shared" si="0"/>
        <v>75.92307692307692</v>
      </c>
      <c r="N33" s="13">
        <f t="shared" si="1"/>
        <v>4.257141873357283</v>
      </c>
      <c r="O33" s="12"/>
      <c r="P33" s="96"/>
      <c r="Q33" s="114"/>
      <c r="R33" s="13"/>
      <c r="S33" s="13"/>
      <c r="T33" s="12" t="s">
        <v>623</v>
      </c>
      <c r="U33" s="3" t="s">
        <v>208</v>
      </c>
      <c r="V33" s="2"/>
      <c r="W33" s="31" t="e">
        <f t="shared" si="4"/>
        <v>#NUM!</v>
      </c>
      <c r="X33" s="31" t="e">
        <f t="shared" si="5"/>
        <v>#NUM!</v>
      </c>
      <c r="Z33" s="31">
        <f t="shared" si="6"/>
        <v>0.03868913650512695</v>
      </c>
      <c r="AA33" s="31">
        <f t="shared" si="7"/>
        <v>0.009088054299354553</v>
      </c>
      <c r="AB33" s="119">
        <v>39114</v>
      </c>
    </row>
    <row r="34" spans="1:28" ht="25.5" customHeight="1">
      <c r="A34" s="20" t="s">
        <v>593</v>
      </c>
      <c r="B34" s="14" t="s">
        <v>594</v>
      </c>
      <c r="C34" s="12" t="s">
        <v>292</v>
      </c>
      <c r="D34" s="16">
        <v>6</v>
      </c>
      <c r="E34" s="10"/>
      <c r="F34" s="10"/>
      <c r="G34" s="10"/>
      <c r="H34" s="12"/>
      <c r="I34" s="3"/>
      <c r="J34" s="16" t="s">
        <v>505</v>
      </c>
      <c r="K34" s="12">
        <v>0.0164</v>
      </c>
      <c r="L34" s="96">
        <v>6.278</v>
      </c>
      <c r="M34" s="114">
        <f t="shared" si="0"/>
        <v>376.5268780487804</v>
      </c>
      <c r="N34" s="13">
        <f t="shared" si="1"/>
        <v>1.8182571879210854</v>
      </c>
      <c r="O34" s="12"/>
      <c r="P34" s="96"/>
      <c r="Q34" s="114"/>
      <c r="R34" s="13"/>
      <c r="S34" s="13"/>
      <c r="T34" s="12" t="s">
        <v>623</v>
      </c>
      <c r="U34" s="3"/>
      <c r="V34" s="2"/>
      <c r="W34" s="31" t="e">
        <f t="shared" si="4"/>
        <v>#NUM!</v>
      </c>
      <c r="X34" s="31" t="e">
        <f t="shared" si="5"/>
        <v>#NUM!</v>
      </c>
      <c r="Z34" s="31">
        <f t="shared" si="6"/>
        <v>0.028301119804382324</v>
      </c>
      <c r="AA34" s="31">
        <f t="shared" si="7"/>
        <v>0.015564970672130585</v>
      </c>
      <c r="AB34" s="119">
        <v>39114</v>
      </c>
    </row>
    <row r="35" spans="1:28" ht="25.5" customHeight="1">
      <c r="A35" s="20" t="s">
        <v>595</v>
      </c>
      <c r="B35" s="14" t="s">
        <v>596</v>
      </c>
      <c r="C35" s="12" t="s">
        <v>292</v>
      </c>
      <c r="D35" s="16">
        <v>8</v>
      </c>
      <c r="E35" s="10"/>
      <c r="F35" s="10"/>
      <c r="G35" s="10"/>
      <c r="H35" s="12"/>
      <c r="I35" s="3"/>
      <c r="J35" s="16" t="s">
        <v>505</v>
      </c>
      <c r="K35" s="12">
        <v>0.00576</v>
      </c>
      <c r="L35" s="96">
        <v>1.306</v>
      </c>
      <c r="M35" s="114">
        <f t="shared" si="0"/>
        <v>225.4301111111111</v>
      </c>
      <c r="N35" s="13">
        <f t="shared" si="1"/>
        <v>3.573945043244354</v>
      </c>
      <c r="O35" s="12"/>
      <c r="P35" s="96"/>
      <c r="Q35" s="114"/>
      <c r="R35" s="13"/>
      <c r="S35" s="13"/>
      <c r="T35" s="12" t="s">
        <v>623</v>
      </c>
      <c r="U35" s="3"/>
      <c r="V35" s="2"/>
      <c r="W35" s="31" t="e">
        <f t="shared" si="4"/>
        <v>#NUM!</v>
      </c>
      <c r="X35" s="31" t="e">
        <f t="shared" si="5"/>
        <v>#NUM!</v>
      </c>
      <c r="Z35" s="31">
        <f t="shared" si="6"/>
        <v>0.0156802237033844</v>
      </c>
      <c r="AA35" s="31">
        <f t="shared" si="7"/>
        <v>0.004387371242046356</v>
      </c>
      <c r="AB35" s="119">
        <v>39114</v>
      </c>
    </row>
    <row r="36" spans="1:28" ht="25.5" customHeight="1">
      <c r="A36" s="20" t="s">
        <v>598</v>
      </c>
      <c r="B36" s="14" t="s">
        <v>286</v>
      </c>
      <c r="C36" s="12" t="s">
        <v>292</v>
      </c>
      <c r="D36" s="16">
        <f>SUM(D27:D35)</f>
        <v>696</v>
      </c>
      <c r="E36" s="10"/>
      <c r="F36" s="10"/>
      <c r="G36" s="10"/>
      <c r="H36" s="12"/>
      <c r="I36" s="3" t="s">
        <v>599</v>
      </c>
      <c r="J36" s="16" t="s">
        <v>505</v>
      </c>
      <c r="K36" s="12">
        <v>0.00751</v>
      </c>
      <c r="L36" s="96">
        <v>1</v>
      </c>
      <c r="M36" s="114">
        <f t="shared" si="0"/>
        <v>132.15579227696404</v>
      </c>
      <c r="N36" s="13">
        <f t="shared" si="1"/>
        <v>4.284527266745381</v>
      </c>
      <c r="O36" s="12">
        <v>0.00506</v>
      </c>
      <c r="P36" s="96">
        <v>2.7</v>
      </c>
      <c r="Q36" s="114">
        <f t="shared" si="2"/>
        <v>530.8968379446641</v>
      </c>
      <c r="R36" s="13">
        <f t="shared" si="3"/>
        <v>2.452078223666722</v>
      </c>
      <c r="S36" s="17">
        <f>K36/O36</f>
        <v>1.484189723320158</v>
      </c>
      <c r="T36" s="12" t="s">
        <v>624</v>
      </c>
      <c r="U36" s="3"/>
      <c r="V36" s="2"/>
      <c r="W36" s="31">
        <f t="shared" si="4"/>
        <v>0.01092749834060669</v>
      </c>
      <c r="X36" s="31">
        <f t="shared" si="5"/>
        <v>0.004456423223018646</v>
      </c>
      <c r="Z36" s="31">
        <f t="shared" si="6"/>
        <v>0.022413194179534912</v>
      </c>
      <c r="AA36" s="31">
        <f t="shared" si="7"/>
        <v>0.005231194198131561</v>
      </c>
      <c r="AB36" s="119">
        <v>39114</v>
      </c>
    </row>
    <row r="37" spans="1:28" ht="25.5" customHeight="1" hidden="1">
      <c r="A37" s="20" t="s">
        <v>180</v>
      </c>
      <c r="B37" s="20" t="s">
        <v>287</v>
      </c>
      <c r="C37" s="11" t="s">
        <v>291</v>
      </c>
      <c r="D37" s="19"/>
      <c r="E37" s="10"/>
      <c r="F37" s="10"/>
      <c r="G37" s="10"/>
      <c r="H37" s="12">
        <v>0.00319</v>
      </c>
      <c r="I37" s="3" t="s">
        <v>304</v>
      </c>
      <c r="J37" s="16" t="s">
        <v>615</v>
      </c>
      <c r="K37" s="12">
        <f>H37</f>
        <v>0.00319</v>
      </c>
      <c r="L37" s="96">
        <v>0.5</v>
      </c>
      <c r="M37" s="114">
        <f t="shared" si="0"/>
        <v>156.2398119122257</v>
      </c>
      <c r="N37" s="13">
        <f t="shared" si="1"/>
        <v>8.398309612862485</v>
      </c>
      <c r="O37" s="12">
        <v>0.003</v>
      </c>
      <c r="P37" s="96">
        <v>0.5</v>
      </c>
      <c r="Q37" s="114">
        <f t="shared" si="2"/>
        <v>166.16666666666666</v>
      </c>
      <c r="R37" s="13">
        <f t="shared" si="3"/>
        <v>8.401014772940476</v>
      </c>
      <c r="S37" s="13"/>
      <c r="T37" s="12"/>
      <c r="U37" s="3" t="s">
        <v>209</v>
      </c>
      <c r="V37" s="2"/>
      <c r="W37" s="31">
        <f t="shared" si="4"/>
        <v>0.011509716510772705</v>
      </c>
      <c r="X37" s="31">
        <f t="shared" si="5"/>
        <v>0.0013700388371944427</v>
      </c>
      <c r="Z37" s="31">
        <f t="shared" si="6"/>
        <v>0.01223766803741455</v>
      </c>
      <c r="AA37" s="31">
        <f t="shared" si="7"/>
        <v>0.001457158476114273</v>
      </c>
      <c r="AB37" s="119">
        <v>39114</v>
      </c>
    </row>
    <row r="38" spans="1:28" ht="25.5" customHeight="1" hidden="1">
      <c r="A38" s="20" t="s">
        <v>309</v>
      </c>
      <c r="B38" s="20" t="s">
        <v>310</v>
      </c>
      <c r="C38" s="11" t="s">
        <v>6</v>
      </c>
      <c r="D38" s="19"/>
      <c r="E38" s="10"/>
      <c r="F38" s="10"/>
      <c r="G38" s="10"/>
      <c r="H38" s="12">
        <v>0.058</v>
      </c>
      <c r="I38" s="3" t="s">
        <v>308</v>
      </c>
      <c r="J38" s="16" t="s">
        <v>506</v>
      </c>
      <c r="K38" s="12">
        <f>H38</f>
        <v>0.058</v>
      </c>
      <c r="L38" s="96">
        <v>0.5</v>
      </c>
      <c r="M38" s="114">
        <f t="shared" si="0"/>
        <v>8.120689655172413</v>
      </c>
      <c r="N38" s="13">
        <f t="shared" si="1"/>
        <v>7.598006950550601</v>
      </c>
      <c r="O38" s="12">
        <v>0.06</v>
      </c>
      <c r="P38" s="96">
        <v>0.5</v>
      </c>
      <c r="Q38" s="114">
        <f t="shared" si="2"/>
        <v>7.833333333333333</v>
      </c>
      <c r="R38" s="13">
        <f t="shared" si="3"/>
        <v>7.568295897422442</v>
      </c>
      <c r="S38" s="13"/>
      <c r="T38" s="12"/>
      <c r="U38" s="3"/>
      <c r="V38" s="2"/>
      <c r="W38" s="31">
        <f t="shared" si="4"/>
        <v>0.2235088348388672</v>
      </c>
      <c r="X38" s="31">
        <f t="shared" si="5"/>
        <v>0.029532253742218018</v>
      </c>
      <c r="Z38" s="31">
        <f t="shared" si="6"/>
        <v>0.21632099151611328</v>
      </c>
      <c r="AA38" s="31">
        <f t="shared" si="7"/>
        <v>0.028470754623413086</v>
      </c>
      <c r="AB38" s="119">
        <v>39114</v>
      </c>
    </row>
    <row r="39" spans="1:28" ht="25.5" customHeight="1">
      <c r="A39" s="20" t="s">
        <v>601</v>
      </c>
      <c r="B39" s="20" t="s">
        <v>288</v>
      </c>
      <c r="C39" s="12" t="s">
        <v>292</v>
      </c>
      <c r="D39" s="16">
        <v>69</v>
      </c>
      <c r="E39" s="10">
        <v>33379</v>
      </c>
      <c r="F39" s="10">
        <v>5801</v>
      </c>
      <c r="G39" s="10">
        <v>7679019</v>
      </c>
      <c r="H39" s="82">
        <f>(E39+F39)/G39</f>
        <v>0.005102214228145548</v>
      </c>
      <c r="I39" s="3"/>
      <c r="J39" s="16" t="s">
        <v>505</v>
      </c>
      <c r="K39" s="12">
        <v>0.00544</v>
      </c>
      <c r="L39" s="96">
        <v>2.177</v>
      </c>
      <c r="M39" s="114">
        <f t="shared" si="0"/>
        <v>398.00682352941175</v>
      </c>
      <c r="N39" s="13">
        <f t="shared" si="1"/>
        <v>2.7009539556854074</v>
      </c>
      <c r="O39" s="12">
        <v>0.00505</v>
      </c>
      <c r="P39" s="96">
        <v>3.4</v>
      </c>
      <c r="Q39" s="114">
        <f t="shared" si="2"/>
        <v>669.8673267326733</v>
      </c>
      <c r="R39" s="13">
        <f t="shared" si="3"/>
        <v>2.2348898018953536</v>
      </c>
      <c r="S39" s="17">
        <f>K39/O39</f>
        <v>1.0772277227722773</v>
      </c>
      <c r="T39" s="12" t="s">
        <v>625</v>
      </c>
      <c r="U39" s="3" t="s">
        <v>207</v>
      </c>
      <c r="V39" s="2"/>
      <c r="W39" s="31">
        <f t="shared" si="4"/>
        <v>0.010211139917373657</v>
      </c>
      <c r="X39" s="31">
        <f t="shared" si="5"/>
        <v>0.004568967968225479</v>
      </c>
      <c r="Z39" s="31">
        <f t="shared" si="6"/>
        <v>0.012535691261291504</v>
      </c>
      <c r="AA39" s="31">
        <f t="shared" si="7"/>
        <v>0.0046412087976932526</v>
      </c>
      <c r="AB39" s="119">
        <v>39114</v>
      </c>
    </row>
    <row r="40" spans="1:28" ht="25.5" customHeight="1">
      <c r="A40" s="20" t="s">
        <v>602</v>
      </c>
      <c r="B40" s="20" t="s">
        <v>289</v>
      </c>
      <c r="C40" s="11" t="s">
        <v>292</v>
      </c>
      <c r="D40" s="19">
        <v>24</v>
      </c>
      <c r="E40" s="10">
        <v>8946</v>
      </c>
      <c r="F40" s="10">
        <v>3552</v>
      </c>
      <c r="G40" s="10">
        <v>1127958</v>
      </c>
      <c r="H40" s="82">
        <f>(E40+F40)/G40</f>
        <v>0.011080199794673206</v>
      </c>
      <c r="I40" s="3"/>
      <c r="J40" s="16" t="s">
        <v>505</v>
      </c>
      <c r="K40" s="12">
        <v>0.013</v>
      </c>
      <c r="L40" s="91">
        <v>3.288</v>
      </c>
      <c r="M40" s="114">
        <f t="shared" si="0"/>
        <v>249.63507692307692</v>
      </c>
      <c r="N40" s="13">
        <f t="shared" si="1"/>
        <v>2.253407708335581</v>
      </c>
      <c r="O40" s="12">
        <v>0.0115</v>
      </c>
      <c r="P40" s="96">
        <v>3.9</v>
      </c>
      <c r="Q40" s="114">
        <f t="shared" si="2"/>
        <v>335.2304347826087</v>
      </c>
      <c r="R40" s="13">
        <f t="shared" si="3"/>
        <v>2.1178824281862867</v>
      </c>
      <c r="S40" s="17">
        <f>K40/O40</f>
        <v>1.1304347826086956</v>
      </c>
      <c r="T40" s="12"/>
      <c r="U40" s="3"/>
      <c r="V40" s="2"/>
      <c r="W40" s="31">
        <f t="shared" si="4"/>
        <v>0.02235233783721924</v>
      </c>
      <c r="X40" s="31">
        <f t="shared" si="5"/>
        <v>0.010554097592830658</v>
      </c>
      <c r="Z40" s="31">
        <f t="shared" si="6"/>
        <v>0.026453375816345215</v>
      </c>
      <c r="AA40" s="31">
        <f t="shared" si="7"/>
        <v>0.011739276349544525</v>
      </c>
      <c r="AB40" s="119">
        <v>39114</v>
      </c>
    </row>
    <row r="41" spans="1:28" ht="25.5" customHeight="1">
      <c r="A41" s="37" t="s">
        <v>603</v>
      </c>
      <c r="B41" s="37" t="s">
        <v>290</v>
      </c>
      <c r="C41" s="7" t="s">
        <v>292</v>
      </c>
      <c r="D41" s="23">
        <v>30</v>
      </c>
      <c r="E41" s="5">
        <v>11458</v>
      </c>
      <c r="F41" s="5">
        <v>3598</v>
      </c>
      <c r="G41" s="5">
        <v>1181880</v>
      </c>
      <c r="H41" s="117">
        <f>(E41+F41)/G41</f>
        <v>0.012739025958642163</v>
      </c>
      <c r="I41" s="5"/>
      <c r="J41" s="23" t="s">
        <v>505</v>
      </c>
      <c r="K41" s="7">
        <v>0.0107</v>
      </c>
      <c r="L41" s="93">
        <v>4.703</v>
      </c>
      <c r="M41" s="115">
        <f t="shared" si="0"/>
        <v>434.8297102803739</v>
      </c>
      <c r="N41" s="22">
        <f t="shared" si="1"/>
        <v>1.9887288104551908</v>
      </c>
      <c r="O41" s="7">
        <v>0.0129</v>
      </c>
      <c r="P41" s="89">
        <v>4.6</v>
      </c>
      <c r="Q41" s="115">
        <f t="shared" si="2"/>
        <v>351.9891472868217</v>
      </c>
      <c r="R41" s="22">
        <f t="shared" si="3"/>
        <v>2.0010144714287224</v>
      </c>
      <c r="S41" s="17">
        <f>K41/O41</f>
        <v>0.8294573643410852</v>
      </c>
      <c r="T41" s="7"/>
      <c r="U41" s="5"/>
      <c r="V41" s="2"/>
      <c r="W41" s="31">
        <f t="shared" si="4"/>
        <v>0.02401334047317505</v>
      </c>
      <c r="X41" s="31">
        <f t="shared" si="5"/>
        <v>0.012000583112239838</v>
      </c>
      <c r="Z41" s="31">
        <f t="shared" si="6"/>
        <v>0.019821643829345703</v>
      </c>
      <c r="AA41" s="31">
        <f t="shared" si="7"/>
        <v>0.00996699184179306</v>
      </c>
      <c r="AB41" s="120">
        <v>39114</v>
      </c>
    </row>
    <row r="42" spans="1:32" s="14" customFormat="1" ht="51" customHeight="1">
      <c r="A42" s="147" t="s">
        <v>0</v>
      </c>
      <c r="B42" s="122"/>
      <c r="C42" s="122"/>
      <c r="D42" s="122"/>
      <c r="E42" s="122"/>
      <c r="F42" s="122"/>
      <c r="G42" s="122"/>
      <c r="H42" s="122"/>
      <c r="I42" s="122"/>
      <c r="J42" s="122"/>
      <c r="K42" s="122"/>
      <c r="L42" s="122"/>
      <c r="M42" s="122"/>
      <c r="N42" s="122"/>
      <c r="O42" s="122"/>
      <c r="P42" s="122"/>
      <c r="Q42" s="122"/>
      <c r="R42" s="122"/>
      <c r="S42" s="122"/>
      <c r="T42" s="122"/>
      <c r="U42" s="1"/>
      <c r="V42" s="1"/>
      <c r="W42" s="1"/>
      <c r="X42" s="1"/>
      <c r="Y42" s="1"/>
      <c r="Z42" s="1"/>
      <c r="AA42" s="1"/>
      <c r="AB42" s="1"/>
      <c r="AC42" s="1"/>
      <c r="AD42" s="1"/>
      <c r="AE42" s="1"/>
      <c r="AF42" s="1"/>
    </row>
    <row r="43" spans="1:4" ht="12.75" hidden="1">
      <c r="A43" s="81" t="s">
        <v>23</v>
      </c>
      <c r="B43" s="30"/>
      <c r="C43" s="30"/>
      <c r="D43" s="70"/>
    </row>
    <row r="44" spans="1:4" ht="12.75" hidden="1">
      <c r="A44" s="30" t="s">
        <v>24</v>
      </c>
      <c r="B44" s="30"/>
      <c r="C44" s="30"/>
      <c r="D44" s="70"/>
    </row>
    <row r="45" spans="1:20" ht="12.75" hidden="1">
      <c r="A45" s="132" t="s">
        <v>5</v>
      </c>
      <c r="B45" s="133"/>
      <c r="C45" s="133"/>
      <c r="D45" s="133"/>
      <c r="E45" s="133"/>
      <c r="F45" s="133"/>
      <c r="G45" s="133"/>
      <c r="H45" s="133"/>
      <c r="I45" s="133"/>
      <c r="J45" s="133"/>
      <c r="K45" s="133"/>
      <c r="L45" s="133"/>
      <c r="M45" s="133"/>
      <c r="N45" s="133"/>
      <c r="O45" s="133"/>
      <c r="P45" s="133"/>
      <c r="Q45" s="133"/>
      <c r="R45" s="133"/>
      <c r="S45" s="133"/>
      <c r="T45" s="133"/>
    </row>
    <row r="46" spans="1:20" ht="12.75" hidden="1">
      <c r="A46" s="144" t="s">
        <v>452</v>
      </c>
      <c r="B46" s="155"/>
      <c r="C46" s="155"/>
      <c r="D46" s="155"/>
      <c r="E46" s="155"/>
      <c r="F46" s="155"/>
      <c r="G46" s="155"/>
      <c r="H46" s="155"/>
      <c r="I46" s="155"/>
      <c r="J46" s="155"/>
      <c r="K46" s="155"/>
      <c r="L46" s="155"/>
      <c r="M46" s="155"/>
      <c r="N46" s="155"/>
      <c r="O46" s="155"/>
      <c r="P46" s="155"/>
      <c r="Q46" s="155"/>
      <c r="R46" s="155"/>
      <c r="S46" s="155"/>
      <c r="T46" s="155"/>
    </row>
    <row r="47" spans="1:20" ht="12.75" hidden="1">
      <c r="A47" s="144" t="s">
        <v>453</v>
      </c>
      <c r="B47" s="152"/>
      <c r="C47" s="152"/>
      <c r="D47" s="152"/>
      <c r="E47" s="152"/>
      <c r="F47" s="152"/>
      <c r="G47" s="152"/>
      <c r="H47" s="152"/>
      <c r="I47" s="152"/>
      <c r="J47" s="152"/>
      <c r="K47" s="152"/>
      <c r="L47" s="152"/>
      <c r="M47" s="152"/>
      <c r="N47" s="152"/>
      <c r="O47" s="152"/>
      <c r="P47" s="152"/>
      <c r="Q47" s="152"/>
      <c r="R47" s="152"/>
      <c r="S47" s="152"/>
      <c r="T47" s="152"/>
    </row>
  </sheetData>
  <mergeCells count="13">
    <mergeCell ref="AB4:AB5"/>
    <mergeCell ref="O4:R4"/>
    <mergeCell ref="S4:S5"/>
    <mergeCell ref="A47:T47"/>
    <mergeCell ref="A42:T42"/>
    <mergeCell ref="C4:C5"/>
    <mergeCell ref="A4:A5"/>
    <mergeCell ref="B4:B5"/>
    <mergeCell ref="D4:I4"/>
    <mergeCell ref="T4:T5"/>
    <mergeCell ref="A45:T45"/>
    <mergeCell ref="A46:T46"/>
    <mergeCell ref="K4:N4"/>
  </mergeCells>
  <printOptions/>
  <pageMargins left="0.75" right="0.75" top="1" bottom="1" header="0.5" footer="0.5"/>
  <pageSetup fitToHeight="1" fitToWidth="1" horizontalDpi="600" verticalDpi="600" orientation="landscape" scale="64" r:id="rId1"/>
  <rowBreaks count="1" manualBreakCount="1">
    <brk id="42" max="27" man="1"/>
  </rowBreaks>
  <colBreaks count="1" manualBreakCount="1">
    <brk id="2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EIDESA</dc:creator>
  <cp:keywords/>
  <dc:description/>
  <cp:lastModifiedBy>Tom Wierman</cp:lastModifiedBy>
  <cp:lastPrinted>2008-06-02T15:33:01Z</cp:lastPrinted>
  <dcterms:created xsi:type="dcterms:W3CDTF">2004-01-16T17:04:10Z</dcterms:created>
  <dcterms:modified xsi:type="dcterms:W3CDTF">2008-12-02T19:48:32Z</dcterms:modified>
  <cp:category/>
  <cp:version/>
  <cp:contentType/>
  <cp:contentStatus/>
</cp:coreProperties>
</file>